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xr:revisionPtr revIDLastSave="36" documentId="11_753A2BD535DFE6E7F0C32E6AAC8A83B135CE787D" xr6:coauthVersionLast="47" xr6:coauthVersionMax="47" xr10:uidLastSave="{9DDD7B2F-5BF4-400F-B958-43BC620EDEB4}"/>
  <bookViews>
    <workbookView xWindow="0" yWindow="0" windowWidth="0" windowHeight="0" xr2:uid="{00000000-000D-0000-FFFF-FFFF00000000}"/>
  </bookViews>
  <sheets>
    <sheet name="Budget Summary" sheetId="1" r:id="rId1"/>
    <sheet name="Budget Narrative" sheetId="2" r:id="rId2"/>
    <sheet name="Summary &amp; CFR" sheetId="3" r:id="rId3"/>
    <sheet name="Lookups" sheetId="4" state="hidden" r:id="rId4"/>
  </sheets>
  <externalReferences>
    <externalReference r:id="rId5"/>
  </externalReferences>
  <definedNames>
    <definedName name="_xlnm._FilterDatabase" localSheetId="3" hidden="1">Lookups!$A$2:$CR$2</definedName>
    <definedName name="DFE">'Budget Summary'!$C$2</definedName>
    <definedName name="Google_Sheet_Link_1057923990" hidden="1">Test15</definedName>
    <definedName name="Google_Sheet_Link_1340132736" hidden="1">Test1</definedName>
    <definedName name="Google_Sheet_Link_1376882038" hidden="1">Test14</definedName>
    <definedName name="Google_Sheet_Link_1656665656" hidden="1">Test3</definedName>
    <definedName name="Google_Sheet_Link_1663899674" hidden="1">Test2</definedName>
    <definedName name="Google_Sheet_Link_1765155887" hidden="1">DFE</definedName>
    <definedName name="Google_Sheet_Link_1940039621" hidden="1">Test17</definedName>
    <definedName name="Google_Sheet_Link_487408514" hidden="1">Test18</definedName>
    <definedName name="Google_Sheet_Link_541596995" hidden="1">Test5</definedName>
    <definedName name="Google_Sheet_Link_646479872" hidden="1">Test13</definedName>
    <definedName name="Google_Sheet_Link_804246661" hidden="1">Test16</definedName>
    <definedName name="PASSCODE">#REF!</definedName>
    <definedName name="Test1">'Budget Summary'!$F$29</definedName>
    <definedName name="Test10">'[1]Budget 202324'!#REF!</definedName>
    <definedName name="Test11">'[1]Budget 202324'!#REF!</definedName>
    <definedName name="Test12">'[1]Budget 202324'!#REF!</definedName>
    <definedName name="Test13">'Budget Summary'!$C$79</definedName>
    <definedName name="Test14">'Budget Summary'!$F$106</definedName>
    <definedName name="Test15">'Budget Summary'!$D$167</definedName>
    <definedName name="Test16">'Budget Summary'!$D$176</definedName>
    <definedName name="Test17">'Budget Summary'!$F$223</definedName>
    <definedName name="Test18">'Budget Summary'!$F$239</definedName>
    <definedName name="Test2">'Budget Summary'!$I$29</definedName>
    <definedName name="Test3">'Budget Summary'!$F$54</definedName>
    <definedName name="Test4">#REF!</definedName>
    <definedName name="Test5">'Budget Summary'!$F$65</definedName>
    <definedName name="Test6">#REF!</definedName>
    <definedName name="Test7">'[1]Budget 202324'!#REF!</definedName>
    <definedName name="Test8">'[1]Budget 202324'!#REF!</definedName>
    <definedName name="Test9">'[1]Budget 202324'!#REF!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GM1Fz2258OODii7h4aLIh6neTJkIJJf0dsvRNZKXq+M="/>
    </ext>
  </extLst>
</workbook>
</file>

<file path=xl/calcChain.xml><?xml version="1.0" encoding="utf-8"?>
<calcChain xmlns="http://schemas.openxmlformats.org/spreadsheetml/2006/main">
  <c r="E85" i="1" l="1"/>
  <c r="C14" i="3"/>
  <c r="C13" i="3"/>
  <c r="C8" i="3"/>
  <c r="H203" i="1"/>
  <c r="I233" i="1" s="1"/>
  <c r="H202" i="1"/>
  <c r="I217" i="1" s="1"/>
  <c r="D176" i="1"/>
  <c r="F170" i="1"/>
  <c r="C11" i="3" s="1"/>
  <c r="D154" i="1"/>
  <c r="D153" i="1"/>
  <c r="F158" i="1" s="1"/>
  <c r="D151" i="1"/>
  <c r="D150" i="1"/>
  <c r="F156" i="1" s="1"/>
  <c r="F160" i="1" s="1"/>
  <c r="C10" i="3" s="1"/>
  <c r="F129" i="1"/>
  <c r="F128" i="1"/>
  <c r="F127" i="1"/>
  <c r="F131" i="1" s="1"/>
  <c r="C9" i="3" s="1"/>
  <c r="F104" i="1"/>
  <c r="F106" i="1" s="1"/>
  <c r="F90" i="1"/>
  <c r="F89" i="1"/>
  <c r="F88" i="1"/>
  <c r="F87" i="1"/>
  <c r="F86" i="1"/>
  <c r="F85" i="1"/>
  <c r="C79" i="1"/>
  <c r="F65" i="1"/>
  <c r="F64" i="1"/>
  <c r="C24" i="3" s="1"/>
  <c r="F63" i="1"/>
  <c r="C23" i="3" s="1"/>
  <c r="F62" i="1"/>
  <c r="C22" i="3" s="1"/>
  <c r="F61" i="1"/>
  <c r="C21" i="3" s="1"/>
  <c r="F60" i="1"/>
  <c r="C20" i="3" s="1"/>
  <c r="F59" i="1"/>
  <c r="C19" i="3" s="1"/>
  <c r="F55" i="1"/>
  <c r="F54" i="1"/>
  <c r="F53" i="1"/>
  <c r="F52" i="1"/>
  <c r="F220" i="1" s="1"/>
  <c r="F236" i="1" s="1"/>
  <c r="F51" i="1"/>
  <c r="F49" i="1"/>
  <c r="F48" i="1"/>
  <c r="F47" i="1"/>
  <c r="F46" i="1"/>
  <c r="F45" i="1"/>
  <c r="F44" i="1"/>
  <c r="F43" i="1"/>
  <c r="F42" i="1"/>
  <c r="F35" i="1"/>
  <c r="K31" i="1"/>
  <c r="M31" i="1" s="1"/>
  <c r="F31" i="1"/>
  <c r="N31" i="1" s="1"/>
  <c r="F29" i="1"/>
  <c r="K27" i="1"/>
  <c r="M27" i="1" s="1"/>
  <c r="F27" i="1"/>
  <c r="L26" i="1"/>
  <c r="K26" i="1"/>
  <c r="M26" i="1" s="1"/>
  <c r="K25" i="1"/>
  <c r="M25" i="1" s="1"/>
  <c r="D25" i="1"/>
  <c r="K24" i="1"/>
  <c r="M24" i="1" s="1"/>
  <c r="D24" i="1"/>
  <c r="K23" i="1"/>
  <c r="M23" i="1" s="1"/>
  <c r="D23" i="1"/>
  <c r="K22" i="1"/>
  <c r="M22" i="1" s="1"/>
  <c r="D22" i="1"/>
  <c r="K21" i="1"/>
  <c r="M21" i="1" s="1"/>
  <c r="D21" i="1"/>
  <c r="K20" i="1"/>
  <c r="M20" i="1" s="1"/>
  <c r="D20" i="1"/>
  <c r="K19" i="1"/>
  <c r="M19" i="1" s="1"/>
  <c r="D19" i="1"/>
  <c r="K18" i="1"/>
  <c r="M18" i="1" s="1"/>
  <c r="D18" i="1"/>
  <c r="K17" i="1"/>
  <c r="M17" i="1" s="1"/>
  <c r="D17" i="1"/>
  <c r="L16" i="1"/>
  <c r="K16" i="1"/>
  <c r="M16" i="1" s="1"/>
  <c r="D16" i="1"/>
  <c r="K15" i="1"/>
  <c r="M15" i="1" s="1"/>
  <c r="D15" i="1"/>
  <c r="L14" i="1"/>
  <c r="K14" i="1"/>
  <c r="M14" i="1" s="1"/>
  <c r="D14" i="1"/>
  <c r="L13" i="1"/>
  <c r="K13" i="1"/>
  <c r="M13" i="1" s="1"/>
  <c r="D13" i="1"/>
  <c r="L12" i="1"/>
  <c r="L29" i="1" s="1"/>
  <c r="L33" i="1" s="1"/>
  <c r="K12" i="1"/>
  <c r="D12" i="1"/>
  <c r="B5" i="1"/>
  <c r="A2" i="1"/>
  <c r="F198" i="1" l="1"/>
  <c r="D181" i="1"/>
  <c r="D64" i="1"/>
  <c r="D63" i="1"/>
  <c r="D62" i="1"/>
  <c r="D61" i="1"/>
  <c r="D59" i="1"/>
  <c r="F50" i="1"/>
  <c r="E26" i="1"/>
  <c r="D26" i="1"/>
  <c r="F26" i="1" s="1"/>
  <c r="E25" i="1"/>
  <c r="E24" i="1"/>
  <c r="E23" i="1"/>
  <c r="E22" i="1"/>
  <c r="E21" i="1"/>
  <c r="E20" i="1"/>
  <c r="E19" i="1"/>
  <c r="E18" i="1"/>
  <c r="E17" i="1"/>
  <c r="E16" i="1"/>
  <c r="E15" i="1"/>
  <c r="E14" i="1"/>
  <c r="E13" i="1"/>
  <c r="E12" i="1"/>
  <c r="F12" i="1" s="1"/>
  <c r="K29" i="1"/>
  <c r="K33" i="1" s="1"/>
  <c r="M33" i="1" s="1"/>
  <c r="M35" i="1" s="1"/>
  <c r="M12" i="1"/>
  <c r="M29" i="1" s="1"/>
  <c r="F13" i="1"/>
  <c r="N13" i="1" s="1"/>
  <c r="F14" i="1"/>
  <c r="N14" i="1" s="1"/>
  <c r="F15" i="1"/>
  <c r="N15" i="1" s="1"/>
  <c r="F16" i="1"/>
  <c r="F17" i="1"/>
  <c r="F18" i="1"/>
  <c r="F19" i="1"/>
  <c r="F20" i="1"/>
  <c r="F21" i="1"/>
  <c r="F22" i="1"/>
  <c r="D60" i="1"/>
  <c r="F23" i="1"/>
  <c r="F24" i="1"/>
  <c r="F25" i="1"/>
  <c r="C18" i="3"/>
  <c r="F228" i="1"/>
  <c r="F212" i="1"/>
  <c r="N27" i="1"/>
  <c r="F33" i="1"/>
  <c r="N29" i="1"/>
  <c r="C80" i="1"/>
  <c r="C81" i="1" s="1"/>
  <c r="F82" i="1" s="1"/>
  <c r="C7" i="3"/>
  <c r="F211" i="1"/>
  <c r="C5" i="3" l="1"/>
  <c r="F92" i="1"/>
  <c r="C6" i="3" s="1"/>
  <c r="C4" i="3"/>
  <c r="F210" i="1"/>
  <c r="F37" i="1"/>
  <c r="M36" i="1"/>
  <c r="M37" i="1" s="1"/>
  <c r="M38" i="1" s="1"/>
  <c r="N33" i="1"/>
  <c r="N25" i="1"/>
  <c r="I25" i="1"/>
  <c r="N24" i="1"/>
  <c r="I24" i="1"/>
  <c r="N23" i="1"/>
  <c r="I23" i="1"/>
  <c r="N22" i="1"/>
  <c r="I22" i="1"/>
  <c r="N21" i="1"/>
  <c r="I21" i="1"/>
  <c r="N20" i="1"/>
  <c r="I20" i="1"/>
  <c r="N19" i="1"/>
  <c r="I19" i="1"/>
  <c r="N18" i="1"/>
  <c r="I18" i="1"/>
  <c r="N17" i="1"/>
  <c r="I17" i="1"/>
  <c r="N16" i="1"/>
  <c r="I16" i="1"/>
  <c r="I29" i="1" s="1"/>
  <c r="N12" i="1"/>
  <c r="F213" i="1"/>
  <c r="N26" i="1"/>
  <c r="D180" i="1"/>
  <c r="D182" i="1" s="1"/>
  <c r="D183" i="1" s="1"/>
  <c r="F185" i="1" s="1"/>
  <c r="C12" i="3" s="1"/>
  <c r="F215" i="1"/>
  <c r="F200" i="1"/>
  <c r="F234" i="1" s="1"/>
  <c r="F199" i="1"/>
  <c r="F231" i="1" l="1"/>
  <c r="F218" i="1"/>
  <c r="F229" i="1"/>
  <c r="F237" i="1" s="1"/>
  <c r="F221" i="1"/>
  <c r="F214" i="1"/>
  <c r="F216" i="1" s="1"/>
  <c r="F217" i="1" s="1"/>
  <c r="F219" i="1" s="1"/>
  <c r="F223" i="1" s="1"/>
  <c r="F227" i="1" s="1"/>
  <c r="F230" i="1" s="1"/>
  <c r="F232" i="1" s="1"/>
  <c r="F233" i="1" s="1"/>
  <c r="F235" i="1" s="1"/>
  <c r="F239" i="1" s="1"/>
</calcChain>
</file>

<file path=xl/sharedStrings.xml><?xml version="1.0" encoding="utf-8"?>
<sst xmlns="http://schemas.openxmlformats.org/spreadsheetml/2006/main" count="578" uniqueCount="378">
  <si>
    <t>Please select your DFE number</t>
  </si>
  <si>
    <t>Schools Block budget</t>
  </si>
  <si>
    <t>of which</t>
  </si>
  <si>
    <t>2023/24 Comparrison</t>
  </si>
  <si>
    <t>Notional SEN Budget</t>
  </si>
  <si>
    <t>Local Funding Formula (LFF)</t>
  </si>
  <si>
    <t>2023/24 Formula</t>
  </si>
  <si>
    <t>Mainstream Schools Additional Grant</t>
  </si>
  <si>
    <t>Total 'like 4 like' comparator</t>
  </si>
  <si>
    <t>Movement</t>
  </si>
  <si>
    <t>Units</t>
  </si>
  <si>
    <t>Rate</t>
  </si>
  <si>
    <t>Allocation</t>
  </si>
  <si>
    <t>Age Weighted Pupil Unit</t>
  </si>
  <si>
    <t>Primary</t>
  </si>
  <si>
    <t>KS3</t>
  </si>
  <si>
    <t>KS4</t>
  </si>
  <si>
    <t>Free School Meals</t>
  </si>
  <si>
    <t>Free School Meals Ever 6</t>
  </si>
  <si>
    <t>Income Deprivation Affecting Children Index</t>
  </si>
  <si>
    <t>IDACI Band F</t>
  </si>
  <si>
    <t>IDACI Band E</t>
  </si>
  <si>
    <t>IDACI Band D</t>
  </si>
  <si>
    <t>IDACI Band C</t>
  </si>
  <si>
    <t>IDACI Band B</t>
  </si>
  <si>
    <t>IDACI Band A</t>
  </si>
  <si>
    <t>English as an Additional Language</t>
  </si>
  <si>
    <t>Low Prior Attainment</t>
  </si>
  <si>
    <t>Mobility</t>
  </si>
  <si>
    <t>Lump Sum</t>
  </si>
  <si>
    <t>National Non Domestic Rates</t>
  </si>
  <si>
    <t>Total Formula Factors</t>
  </si>
  <si>
    <t>Minimum Funding Guarantee (MFG) (see below)</t>
  </si>
  <si>
    <t>Total Funding Including MFG</t>
  </si>
  <si>
    <t>De-delegation (see below)</t>
  </si>
  <si>
    <t>Total 2023/24 per pupil</t>
  </si>
  <si>
    <t>Total 2024/25 per pupil</t>
  </si>
  <si>
    <t>Final Schools Block Budget After De-delegation</t>
  </si>
  <si>
    <t>Movement £</t>
  </si>
  <si>
    <t>Movement %</t>
  </si>
  <si>
    <t>Minimum Funding Guarantee (MFG)</t>
  </si>
  <si>
    <t>2023/24 School Budget</t>
  </si>
  <si>
    <t>A</t>
  </si>
  <si>
    <t>2023/24 Mainstream Schools Additional Grant</t>
  </si>
  <si>
    <t>B</t>
  </si>
  <si>
    <t>2023/24 National Non Domestic Rates</t>
  </si>
  <si>
    <t>C</t>
  </si>
  <si>
    <t>2024/25 Lump sum</t>
  </si>
  <si>
    <t>D</t>
  </si>
  <si>
    <t>2023/24 Baseline</t>
  </si>
  <si>
    <t>E</t>
  </si>
  <si>
    <t>=A+B-C-D</t>
  </si>
  <si>
    <t>2023/24 Pupil Number</t>
  </si>
  <si>
    <t>F</t>
  </si>
  <si>
    <t>2023/24 Baseline per pupil</t>
  </si>
  <si>
    <t>G</t>
  </si>
  <si>
    <t>=E/F</t>
  </si>
  <si>
    <t>2024/25 Protected baseline per pupil</t>
  </si>
  <si>
    <t>H</t>
  </si>
  <si>
    <t>=G*1.005</t>
  </si>
  <si>
    <t>2024/25 Pupil Number</t>
  </si>
  <si>
    <t>I</t>
  </si>
  <si>
    <t>Protected baseline multiplied up by 2024/25 pupils</t>
  </si>
  <si>
    <t>J</t>
  </si>
  <si>
    <t>=H*I</t>
  </si>
  <si>
    <t>2024/25 National Non Domestic Rates</t>
  </si>
  <si>
    <t>K</t>
  </si>
  <si>
    <t>2024/25 Lump Sum</t>
  </si>
  <si>
    <t>L</t>
  </si>
  <si>
    <t>MFG Budget</t>
  </si>
  <si>
    <t>M</t>
  </si>
  <si>
    <t>=J+K+L</t>
  </si>
  <si>
    <t>MFG Allocation (minimum £0)</t>
  </si>
  <si>
    <t>IF MFG Budget &gt; Total Formula Factors (MFG Budget - Total Formula Factors) ELSE £0</t>
  </si>
  <si>
    <t>De-delegation</t>
  </si>
  <si>
    <t>Pupils</t>
  </si>
  <si>
    <t>For School Contingencies</t>
  </si>
  <si>
    <t>For UPEG/bilingual learners</t>
  </si>
  <si>
    <t>Free school meals eligibility service</t>
  </si>
  <si>
    <t>Licences/subscriptions</t>
  </si>
  <si>
    <t>For Trade Union Supply Cover</t>
  </si>
  <si>
    <t>For School Improvement (SRAS)</t>
  </si>
  <si>
    <t>Total De-delegation</t>
  </si>
  <si>
    <t>Early Years Block Budget</t>
  </si>
  <si>
    <t>Information about early years funding will be added shortly</t>
  </si>
  <si>
    <t>High Needs Block Budget</t>
  </si>
  <si>
    <t>Element 2 place funding</t>
  </si>
  <si>
    <t>(only for schools with commissioned places)</t>
  </si>
  <si>
    <t>Academic year 2022/23 places</t>
  </si>
  <si>
    <t>Academic year 2023/24 places (overtype if necessary)</t>
  </si>
  <si>
    <t>Financial year 2023/24 average</t>
  </si>
  <si>
    <t>@ £6,000 per place</t>
  </si>
  <si>
    <t>Enter qualifying pupil numbers (pro rata if necessary)</t>
  </si>
  <si>
    <t>RP Top up</t>
  </si>
  <si>
    <t>Top up level 1</t>
  </si>
  <si>
    <t>Top up level 2</t>
  </si>
  <si>
    <t>Top up level 3</t>
  </si>
  <si>
    <t>Top up level 4</t>
  </si>
  <si>
    <t>Top up level 5</t>
  </si>
  <si>
    <t>Other Grants</t>
  </si>
  <si>
    <t>Notes</t>
  </si>
  <si>
    <t>Schools should populate the blue cells to complete the estimate of the grants listed</t>
  </si>
  <si>
    <t>These grants are calculated nationally by the ESFA who will then provide the allocations and funding in due course</t>
  </si>
  <si>
    <t>The calculations below reflect our current expectations, however the final allocations published by the ESFA could differ but will be final</t>
  </si>
  <si>
    <t>Teachers Pay Additional Grant</t>
  </si>
  <si>
    <t>Additional information online</t>
  </si>
  <si>
    <t>September 2023 to March 2024 (7/12ths) published allocation</t>
  </si>
  <si>
    <t>Estimated Full Year (12/12ths) Grant Total</t>
  </si>
  <si>
    <t>Teachers Pension Grant</t>
  </si>
  <si>
    <t>There will be an additional grant for 2024 to 2025 to reflect the additional costs of the increase of 5 percentage points, to 28.6%, to the employer contribution</t>
  </si>
  <si>
    <t>rates to the teachers’ pensions scheme from April 2024.</t>
  </si>
  <si>
    <t>We understand that this grant will use similar methodology to the Teachers Pay Additional Grant but await further detail which will be published in</t>
  </si>
  <si>
    <t>due course.</t>
  </si>
  <si>
    <t>For the time being it would be reasonable to assume that the grant will more or less equal the cost although due to the formulaic nature of these grants</t>
  </si>
  <si>
    <t>it is likely in the even that some schools will receive more than the cost and others will receive less.</t>
  </si>
  <si>
    <t>Further details should be available prior to the budget submission deadline.</t>
  </si>
  <si>
    <t>Estimated Grant Total</t>
  </si>
  <si>
    <t>Pupil Premium</t>
  </si>
  <si>
    <t>Primary Ever6 FSM</t>
  </si>
  <si>
    <t>Secondary Ever6FSM</t>
  </si>
  <si>
    <t>Previously Looked After Children</t>
  </si>
  <si>
    <t>Universal Infant Free School Meal Grant</t>
  </si>
  <si>
    <t>Enter the number of pupils taking a school meal on the relevant census day who do not qualify for FSM</t>
  </si>
  <si>
    <t>This is an academic year grant and for the purposes of this template it is assumed the same process will apply in the 2024/25 academic year</t>
  </si>
  <si>
    <t>Reception Pupils</t>
  </si>
  <si>
    <t>Year 1 and 2 Pupils</t>
  </si>
  <si>
    <t>Academic year funded pupils 2023/24</t>
  </si>
  <si>
    <t>Year R</t>
  </si>
  <si>
    <t>Years 1 &amp; 2</t>
  </si>
  <si>
    <t>Academic year funded pupils 2024/25</t>
  </si>
  <si>
    <t>Academic year estimated funding 2023/24 @ £480.70</t>
  </si>
  <si>
    <t>Academic year estimated funding 2024/25 @ £480.70</t>
  </si>
  <si>
    <t>2024/25 Financial Year Estimated Grant</t>
  </si>
  <si>
    <t>Recovery Premium</t>
  </si>
  <si>
    <t>Remaining two installments for 2023/24 academic year</t>
  </si>
  <si>
    <t>Assume same value as previous two installments also in 2023/24 academic year</t>
  </si>
  <si>
    <t>2024/25 Financial year estimated allocation</t>
  </si>
  <si>
    <t>PE and Sport Premium for Primary Schools</t>
  </si>
  <si>
    <t>Already published (5/12) allocation for 2023/24 academic year</t>
  </si>
  <si>
    <t>Estimate for 2024/25 academic year assumes the grant will continue on the same terms in the 2024/25 academic year</t>
  </si>
  <si>
    <t>Pupil Led</t>
  </si>
  <si>
    <t>Subtotal</t>
  </si>
  <si>
    <t>(7/12)</t>
  </si>
  <si>
    <t>School Sixth Form (including Bursary)</t>
  </si>
  <si>
    <t>Please enter school estimate</t>
  </si>
  <si>
    <t>School Led Tutoring Grant</t>
  </si>
  <si>
    <t>Year 2 and Year 3 Indications</t>
  </si>
  <si>
    <t>The current MFG calculation has been largely unchanged for a number of years and is the primary driver of school budgets in Hackney</t>
  </si>
  <si>
    <t>However, school budgets in future years will be subject to further government announcements and are inherently uncertain</t>
  </si>
  <si>
    <t>It is expected that the new pension grant will be 'rolled in' in 2025/26 so add this grant amount to both the budget amounts below in your estimate when available</t>
  </si>
  <si>
    <t>This section recreates the current MFG calculation for the next two years to provide schools with an indicative income figure for their multi year budget</t>
  </si>
  <si>
    <t>October 2023 Roll</t>
  </si>
  <si>
    <t>This is in the current budget</t>
  </si>
  <si>
    <t>October 2024 Estimated Roll</t>
  </si>
  <si>
    <t>This defaults to the current budget but overtype if considered appropriate</t>
  </si>
  <si>
    <t>October 2025 Estimated Roll</t>
  </si>
  <si>
    <t>Estimated MFG uplift for 2025/26</t>
  </si>
  <si>
    <t>The 2024/25 rate is 0.5% but overtype if you consider appropriate</t>
  </si>
  <si>
    <t>Estimated MFG uplift for 2026/27</t>
  </si>
  <si>
    <t>Lump sum inflation per year</t>
  </si>
  <si>
    <t>This is illustrated at 3% but is a limited proportion of the budget</t>
  </si>
  <si>
    <t>NNDR inflation per year</t>
  </si>
  <si>
    <t>This is illustrated at 0% although the income will match the expenditure</t>
  </si>
  <si>
    <t>Minimum Funding Guarantee Illustration 2025/26</t>
  </si>
  <si>
    <t>2024/25 School Budget</t>
  </si>
  <si>
    <t>2024/25 Teachers Pay Additional Grant</t>
  </si>
  <si>
    <t>2025/26 Lump sum</t>
  </si>
  <si>
    <t>2024/25 Baseline</t>
  </si>
  <si>
    <t>2024/25 Baseline per pupil</t>
  </si>
  <si>
    <t>2025/26 Protected baseline per pupil</t>
  </si>
  <si>
    <t>2025/26 Pupil Number</t>
  </si>
  <si>
    <t>Protected baseline multiplied up by 2025/26 pupils</t>
  </si>
  <si>
    <t>2025/26 National Non Domestic Rates</t>
  </si>
  <si>
    <t>2025/26 Lump Sum</t>
  </si>
  <si>
    <t>Minimum Funding Guarantee Illustration 2026/27</t>
  </si>
  <si>
    <t>2025/26 School Budget</t>
  </si>
  <si>
    <t>2026/27 Lump sum</t>
  </si>
  <si>
    <t>2025/26 Baseline</t>
  </si>
  <si>
    <t>=A-B-C</t>
  </si>
  <si>
    <t>2025/26 Baseline per pupil</t>
  </si>
  <si>
    <t>=D/E</t>
  </si>
  <si>
    <t>2026/27 Protected baseline per pupil</t>
  </si>
  <si>
    <t>2026/27 Pupil Number</t>
  </si>
  <si>
    <t>Protected baseline multiplied up by 2026/27 pupils</t>
  </si>
  <si>
    <t>=G*H</t>
  </si>
  <si>
    <t>2026/27 National Non Domestic Rates</t>
  </si>
  <si>
    <t>2026/27 Lump Sum</t>
  </si>
  <si>
    <t>=I+J+K</t>
  </si>
  <si>
    <t>Formula Factors</t>
  </si>
  <si>
    <t>In 2024/25, Hackney has continued its policy of following the National Funding Formula (NFF) for all factors other than AWPU which continues to be provided at a higher rate. There is now a national requirement that any factor that doesn't mirror the NFF (+/-2.5%) must move 10% closer to the NFF than it was in 2023/24. The AWPU in Hackney for 2024/25 will be paid at the highest allowable rate, which is more than last year but the 'premium' over the NFF is reduced to meet the aforementioned requirement. During the consultation in Autumn it was not clear if this approach would be affordable but now the grant has been published we have established this is affordable not least because we have transferred some funding from the growth allocation that will not be required. More detail about this transfer can be seen in the graphic below about the DSG. The rates that you see on the budget template will differ from figures you may read about the NFF in the media as there is a national NFF rate that applies across the country but this is then subject to the 'area cost adjustment' which in some cases increases the rate. As Hackney is an inner London borough we have a much higher than average area cost adjustment.</t>
  </si>
  <si>
    <t>In summary, the formula rates are all the same as the NFF apart from the AWPU which is higher than the NFF to the greatest allowable extent.</t>
  </si>
  <si>
    <t>Summer 2023 NFF Situation</t>
  </si>
  <si>
    <t>The NFF factor rates are normally published in July of the preceding year, you may recall that the government had to take the unprecedented step of republishing them last autumn when it came to light that they didn't add up! This was actually beneficial to Hackney for reasons we have to dig deep into the MFG to understand. On the NFF, every school in Hackney would be funded on the MFG. As a consequence, when the factor rates were republished at a lower rate, the amount of MFG topup increased to cover the increased shortfall from the guaranteed budget. However, the lump sum is part of the MFG calculation and the lump sum was also restated in the autumn. If you look at the calculation steps of the MFG that are set out on the budget summary tab, you can see that the lump sum from the new year is one of the deductions from the old year budget. This is because every school gets it, so it doesn't need to be guaranteed. The 0.5% MFG uplift in the NFF is applied after this point. As the restated lump sum was less, the deduction was less, so the 0.5% uplift applied to a greater remainder. The original lump sum in July 2023 was going to be £161,029.76, this was restated to £159,487.1, a reduction of £1,542.66, 0.5% of which is £7.71 which is the (admittedly modest) gain for each Hackney school in the updated NFF.</t>
  </si>
  <si>
    <t>In summary, the whole situation was of no particular consequence to hackney.</t>
  </si>
  <si>
    <t>Minimum Funding Guarantee</t>
  </si>
  <si>
    <t>The minimum funding guarantee is central to a full understanding of the school budget in Hackney. The purpose of the MFG for many years now has been to protect the average amount of funding received by a school per pupil from one year to another, it does not protect the total budget from changes in pupil numbers. On the NFF every school in Hackney receives MFG funding which tops up the formula factors to the guaranteed budget. In the published school budget, the MFG mandated minimum budget for the 74 mainstream schools and acdemies in Hackney is £229,794,013.04. The actual distribution is £230,305,800.08, an increase of just £511,787.04 which is caused by the policy of having an AWPU in excess of the NFF which has the effect of transferring funding from the MFG to the AWPU and in some cases lifting schools off the MFG. As the overall funding in Hackney is determined by the MFG rather than the rest of the NFF, the increases in funding per pupil seen by Hackney schools fall short of the headline rate increases in the NFF that are sometimes reported in the media. The calculation steps of the MFG are shown on the Budget Summary tab. It is important to note that in 2024/25 as in some previous years there is a 'protected grant'. This is the Mainstream Schools Additional Grant that was paid separately in 2023/24 but is being rolled into the DSG in 2024/25 so it gets added to the school budget from last year for the purposes of calculating the MFG. The lump sum is removed from the calculation as every school receives it so it doesn't get protected and national non domestic rates are removed as every school is funded at cost every year.</t>
  </si>
  <si>
    <t>Pupil Numbers</t>
  </si>
  <si>
    <t>The most consequential change relating to the formula and accompanying MFG is not the calculation but rather the data. There has been a reduction of 39 secondary and 481 primary pupils between the 2023/24 budget and 2024/25 budget. To put this into context it is the equivalent of the seventh largest primary school in Hackney disappearing within the last year, taking £4.8m of DSG funding with it. Although secondary numbers have been stable this year, secondary schools may wish to engage with surrounding primary schools to better understand what pupil numbers they may wish to include in their medium term financial plans.</t>
  </si>
  <si>
    <t>Old Year Comparisson</t>
  </si>
  <si>
    <t>The Budget Summary tab includes a table to compare the 2024/25 budget allocation to the 2023/24 formula and Mainstream Schools Additional Grant combined. This table shows how your total funding has changed on each factor and compares the total per pupil between the years. As most schools are on the MFG this will generally be an increase of 0.5% per pupil although this may vary usuallly because of a change in pupil numbers. As the lump sum is removed from the MFG calculation, a change in pupil numbers changes the amount received per pupil..</t>
  </si>
  <si>
    <t>National Non Domestic Rates are included in the budget at cost for all schools. In 2024/25 Hackney will be in the second year of using the new system of having this cost paid centrally so schools will not actually receive this funding and will not have to pay the bill. Schools are however still legally responsible for this cost so it is still included in the published budget and must be accounted for. The CFR tab details how to treat this income and cost for which no actual cash is transfered to or from the school.</t>
  </si>
  <si>
    <t>The de-delegation arrangements set out on the Budget Summary tab are the same as last year and will be used for the same purposes. It is important that de-delegation is recorded as a cost in each school with the total gross budget being recorded against the CFR code I01. Full details of the correct accounting treatment of this is included on the CFR tab.</t>
  </si>
  <si>
    <t xml:space="preserve">This grant was provided in 2023/24 to circulate additional funding to schools that was announced by the government too late to be included in the 2023/24 NFF. It was always expected that this grant would be 'rolled in' to the DSG in 2024/25 and this is what has happened. The grant used factors that correspond to factors in the NFF which were increased by the mainstream schools additional grant amounts before the 2024/25 uplift was applied. You can see how this grant mapped to the fomula in the 2023/24 comparison on the Budget Summary tab. In addition, and more relevant to Hackney schools, the value of the grant was added to last years formula allocation for the purpose of calculating the 2024/25 MFG and this is visisble in the MFG calculation steps on the Budget Summary tab. </t>
  </si>
  <si>
    <t>In July 2023 additional funding was announced by the government to help with the cost of the September 2023 teachers pay settlement. This grant was paid to schools for the period September 2023 to March 2024. This funding was announced too late to be taken into consideration for setting the 2024/25 NFF rates and as such the grant will continue through 2024/25 before being 'rolled in' to the DSG in 2025/26. The Budget Summary tab reflects our understanding that this grant will be the full year effect of the grant provided in 2023/24.</t>
  </si>
  <si>
    <t>The remainder of the Budget Summary tab sets out our most up to date understanding of the other grants that schools are likely to receive. This list isn't exhaustive and schools will want to consider if there are any other grants that they may be eligible for. In the case of mainstream schools these grants are calculated at school level nationally and local authorities are paid the funds to 'passport' on to schools without any local decision making. Links are included to additional online information in each case.</t>
  </si>
  <si>
    <t>Future Years</t>
  </si>
  <si>
    <t>Schools will need to set a multi year budget and as such consider how much funding they anticipate in future years. As the school budget is almost entirley driven by the MFG it would seem reasonable to suggest using the MFG calculation to estimate future year budgets and this is the approach taken in the 2025/26 and 2026/27 budget sections of the Budget Summary tab.</t>
  </si>
  <si>
    <t>Hackney Schools Block Dedicated Schools Grant Allocation</t>
  </si>
  <si>
    <t>The graphic below shows the published allocation for Hackney in 2024/25</t>
  </si>
  <si>
    <t>The graphic below shows how the published allocation is utilised, the 0.5% transfer goes to the high needs block as agreed with the School Funding Forum. All factors in the NFF must be used in the local funding formula but there are some factors for which there are no qualifying schools in Hackney so these are not shown on the Budget Summary tab and are shown here as £0.</t>
  </si>
  <si>
    <t>Where do the unit numbers come from?</t>
  </si>
  <si>
    <t>I hope the information on this tab has helped your understanding of the 2024/25 Hackney school budget allocations but further queries from Hackney schools are welcome at chris.scott@hackney.gov.uk</t>
  </si>
  <si>
    <t>Income Items</t>
  </si>
  <si>
    <t>Total Formula Funding Including MFG</t>
  </si>
  <si>
    <t>I01</t>
  </si>
  <si>
    <t>funds delegated by the local authority</t>
  </si>
  <si>
    <t>High Needs Place Funding</t>
  </si>
  <si>
    <t>High Needs Top up Funding</t>
  </si>
  <si>
    <t>I03</t>
  </si>
  <si>
    <t>high needs top up funding</t>
  </si>
  <si>
    <t>I05</t>
  </si>
  <si>
    <t>pupil premium</t>
  </si>
  <si>
    <t>I18D</t>
  </si>
  <si>
    <t>additional grant for schools</t>
  </si>
  <si>
    <t>I18C</t>
  </si>
  <si>
    <t>I02</t>
  </si>
  <si>
    <t>funding for sixth form students</t>
  </si>
  <si>
    <t>Expenditure Items</t>
  </si>
  <si>
    <t>E17</t>
  </si>
  <si>
    <t>rates</t>
  </si>
  <si>
    <t>E23</t>
  </si>
  <si>
    <t>other insurance premiums</t>
  </si>
  <si>
    <t>E27</t>
  </si>
  <si>
    <t>bought-in professional services - curriculum</t>
  </si>
  <si>
    <t>E28a</t>
  </si>
  <si>
    <t>bought-in professional services - other (except PFI)</t>
  </si>
  <si>
    <t>E19</t>
  </si>
  <si>
    <t>learning resources</t>
  </si>
  <si>
    <t>E11</t>
  </si>
  <si>
    <t>staff-related insurance</t>
  </si>
  <si>
    <t>LAESTAB</t>
  </si>
  <si>
    <t>School Name</t>
  </si>
  <si>
    <t>Type</t>
  </si>
  <si>
    <t>Phase</t>
  </si>
  <si>
    <t>NOR Primary</t>
  </si>
  <si>
    <t>NOR KS3</t>
  </si>
  <si>
    <t>NOR KS4</t>
  </si>
  <si>
    <t>AWPU</t>
  </si>
  <si>
    <t>Primary FSM Units</t>
  </si>
  <si>
    <t>Secondary FSM Units</t>
  </si>
  <si>
    <t>FSM</t>
  </si>
  <si>
    <t>Primary FSM6 Units</t>
  </si>
  <si>
    <t>Secondary FSM6 Units</t>
  </si>
  <si>
    <t>FSM6</t>
  </si>
  <si>
    <t>IDACI Primary Units Band F</t>
  </si>
  <si>
    <t>IDACI Primary Units Band E</t>
  </si>
  <si>
    <t>IDACI Primary Units Band D</t>
  </si>
  <si>
    <t>IDACI Primary Units Band C</t>
  </si>
  <si>
    <t>IDACI Primary Units Band B</t>
  </si>
  <si>
    <t>IDACI Primary Units Band A</t>
  </si>
  <si>
    <t>IDACI Secondary Units Band F</t>
  </si>
  <si>
    <t>IDACI Secondary Units Band E</t>
  </si>
  <si>
    <t>IDACI Secondary Units Band D</t>
  </si>
  <si>
    <t>IDACI Secondary Units Band C</t>
  </si>
  <si>
    <t>IDACI Secondary Units Band B</t>
  </si>
  <si>
    <t>IDACI Secondary Units Band A</t>
  </si>
  <si>
    <t>IDACI TOTAL</t>
  </si>
  <si>
    <t>EAL 3 Primary Units</t>
  </si>
  <si>
    <t>EAL 3 Secondary Units</t>
  </si>
  <si>
    <t>EAL</t>
  </si>
  <si>
    <t>LPA Primary Units</t>
  </si>
  <si>
    <t>LPA Secondary Units</t>
  </si>
  <si>
    <t>Mobility Primary Units</t>
  </si>
  <si>
    <t>Mobility Secondary Units</t>
  </si>
  <si>
    <t>23/24 budget</t>
  </si>
  <si>
    <t>23/24 Protected grants</t>
  </si>
  <si>
    <t>23/24 rates</t>
  </si>
  <si>
    <t>24/25 lump</t>
  </si>
  <si>
    <t>23/24 baseline</t>
  </si>
  <si>
    <t>23-24 NOR</t>
  </si>
  <si>
    <t>MFG per pupil</t>
  </si>
  <si>
    <t>Protected per pupil</t>
  </si>
  <si>
    <t>Multiplied up</t>
  </si>
  <si>
    <t>24/25 rates</t>
  </si>
  <si>
    <t>TOTAL</t>
  </si>
  <si>
    <t>For School Contingencies @ £12.02 per pupil</t>
  </si>
  <si>
    <t>For UPEG/bilingual learners @ £86.00 per EAL pupil</t>
  </si>
  <si>
    <t>Free school meals eligibility service @ £3.38 per pupil</t>
  </si>
  <si>
    <t>Licences/subscriptions @ £3.02 per pupil</t>
  </si>
  <si>
    <t>For Trade Union Supply Cover @ £8.80 per pupil</t>
  </si>
  <si>
    <t>For School Improvement (SRAS) @ £26.10 per pupil</t>
  </si>
  <si>
    <t>Total</t>
  </si>
  <si>
    <t>2023/24 NOR</t>
  </si>
  <si>
    <t>2023/24 Primary AWPU</t>
  </si>
  <si>
    <t>2023/24 KS3 AWPU</t>
  </si>
  <si>
    <t>2023/24 KS4 AWPU</t>
  </si>
  <si>
    <t>2023/24 FSM</t>
  </si>
  <si>
    <t>2023/24 FSM6</t>
  </si>
  <si>
    <t>2023/24 IDACI  Cash Band F</t>
  </si>
  <si>
    <t>2023/24 IDACI  Cash Band E</t>
  </si>
  <si>
    <t>2023/24 IDACI  Cash Band D</t>
  </si>
  <si>
    <t>2023/24 IDACI  Cash Band C</t>
  </si>
  <si>
    <t>2023/24 IDACI  Cash Band B</t>
  </si>
  <si>
    <t>2023/24 IDACI  Cash Band A</t>
  </si>
  <si>
    <t>2023/24 EAL</t>
  </si>
  <si>
    <t>2023/24 LPA</t>
  </si>
  <si>
    <t>2023/24 Mobility</t>
  </si>
  <si>
    <t>2023/24 Lump Sum</t>
  </si>
  <si>
    <t>2023/24 NNDR</t>
  </si>
  <si>
    <t>2023/24 MFG</t>
  </si>
  <si>
    <t>2023/24 TOTAL</t>
  </si>
  <si>
    <t>MSAG Primary</t>
  </si>
  <si>
    <t>MSAG KS3</t>
  </si>
  <si>
    <t>MSAG KS4</t>
  </si>
  <si>
    <t>MSAG Ever6</t>
  </si>
  <si>
    <t>MSAG Lump</t>
  </si>
  <si>
    <t>2023/34 AY Places</t>
  </si>
  <si>
    <t>TPAG</t>
  </si>
  <si>
    <t>Recovery premium</t>
  </si>
  <si>
    <t>PE &amp; Sport</t>
  </si>
  <si>
    <t>RP Rate</t>
  </si>
  <si>
    <t>Berger Primary School</t>
  </si>
  <si>
    <t>School</t>
  </si>
  <si>
    <t>Colvestone Primary School</t>
  </si>
  <si>
    <t>Daubeney Primary School</t>
  </si>
  <si>
    <t>De Beauvoir Primary School</t>
  </si>
  <si>
    <t>Gainsborough Primary School</t>
  </si>
  <si>
    <t>Lauriston School</t>
  </si>
  <si>
    <t>London Fields Primary School</t>
  </si>
  <si>
    <t>Millfields Community School</t>
  </si>
  <si>
    <t>Morningside Primary School</t>
  </si>
  <si>
    <t>Orchard Primary School</t>
  </si>
  <si>
    <t>Queensbridge Primary School</t>
  </si>
  <si>
    <t>Randal Cremer Primary School</t>
  </si>
  <si>
    <t>Princess May Primary School</t>
  </si>
  <si>
    <t>Rushmore Primary School</t>
  </si>
  <si>
    <t>Gayhurst Community School</t>
  </si>
  <si>
    <t>Sebright School</t>
  </si>
  <si>
    <t>Shacklewell Primary School</t>
  </si>
  <si>
    <t>Southwold Primary School</t>
  </si>
  <si>
    <t>Thomas Fairchild Community School</t>
  </si>
  <si>
    <t>Oldhill Community School</t>
  </si>
  <si>
    <t>Shoreditch Park Primary School</t>
  </si>
  <si>
    <t>Woodberry Down Community Primary School</t>
  </si>
  <si>
    <t>Kingsmead Primary School</t>
  </si>
  <si>
    <t>Sir Thomas Abney School</t>
  </si>
  <si>
    <t>Grasmere Primary School</t>
  </si>
  <si>
    <t>Jubilee Primary School</t>
  </si>
  <si>
    <t>Nightingale Primary School</t>
  </si>
  <si>
    <t>Baden-Powell School</t>
  </si>
  <si>
    <t>Harrington Hill Primary School</t>
  </si>
  <si>
    <t>Holmleigh Primary School</t>
  </si>
  <si>
    <t>Grazebrook Primary School</t>
  </si>
  <si>
    <t>Parkwood Primary School</t>
  </si>
  <si>
    <t>Benthal Primary School</t>
  </si>
  <si>
    <t>Mandeville Primary School</t>
  </si>
  <si>
    <t>William Patten Primary School</t>
  </si>
  <si>
    <t>Hoxton Garden Primary</t>
  </si>
  <si>
    <t>Betty Layward Primary School</t>
  </si>
  <si>
    <t>St. Dominic's Catholic Primary School</t>
  </si>
  <si>
    <t>St John and St James CofE Primary School</t>
  </si>
  <si>
    <t>Holy Trinity Church of England Primary School</t>
  </si>
  <si>
    <t>Our Lady and St Joseph Catholic Primary School</t>
  </si>
  <si>
    <t>St John the Baptist Voluntary Aided Church of England Primary School</t>
  </si>
  <si>
    <t>St Matthias Church of England Primary School</t>
  </si>
  <si>
    <t>St Monica's Roman Catholic Primary School</t>
  </si>
  <si>
    <t>St. Paul's With St. Michael's CofE Primary School</t>
  </si>
  <si>
    <t>St John of Jerusalem Church of England Primary School</t>
  </si>
  <si>
    <t>St Mary's Church of England Primary School, Stoke Newington</t>
  </si>
  <si>
    <t>St Scholastica's Catholic Primary School</t>
  </si>
  <si>
    <t>Simon Marks Jewish Primary School</t>
  </si>
  <si>
    <t>Springfield Community Primary School</t>
  </si>
  <si>
    <t>Stoke Newington School and Sixth Form</t>
  </si>
  <si>
    <t>Secondary</t>
  </si>
  <si>
    <t>Yesodey Hatorah Senior Girls School</t>
  </si>
  <si>
    <t>Our Lady's Catholic High School</t>
  </si>
  <si>
    <t>The Urswick School - A Church of England Secondary School</t>
  </si>
  <si>
    <t>Cardinal Pole Catholic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</si>
</sst>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809]#,##0"/>
    <numFmt numFmtId="165" formatCode="[$£-809]#,##0.00"/>
    <numFmt numFmtId="166" formatCode="0.0"/>
    <numFmt numFmtId="167" formatCode="&quot;£&quot;#,##0"/>
    <numFmt numFmtId="168" formatCode="mmmm\ yyyy"/>
    <numFmt numFmtId="169" formatCode="#,##0.0000"/>
    <numFmt numFmtId="170" formatCode="&quot;£&quot;#,##0.00"/>
  </numFmts>
  <fonts count="11">
    <font>
      <sz val="11"/>
      <color theme="1"/>
      <name val="Calibri"/>
      <scheme val="minor"/>
    </font>
    <font>
      <sz val="12"/>
      <color theme="1"/>
      <name val="Arial"/>
    </font>
    <font>
      <sz val="12"/>
      <color theme="0"/>
      <name val="Arial"/>
    </font>
    <font>
      <b/>
      <sz val="12"/>
      <color theme="1"/>
      <name val="Arial"/>
    </font>
    <font>
      <sz val="11"/>
      <color theme="1"/>
      <name val="Calibri"/>
    </font>
    <font>
      <b/>
      <sz val="18"/>
      <color theme="1"/>
      <name val="Arial"/>
    </font>
    <font>
      <sz val="12"/>
      <color rgb="FF000000"/>
      <name val="Arial"/>
    </font>
    <font>
      <sz val="11"/>
      <color theme="1"/>
      <name val="Calibri"/>
      <scheme val="minor"/>
    </font>
    <font>
      <u/>
      <sz val="12"/>
      <color rgb="FF0000FF"/>
      <name val="Arial"/>
    </font>
    <font>
      <i/>
      <sz val="10"/>
      <color theme="1"/>
      <name val="Arial"/>
    </font>
    <font>
      <sz val="10"/>
      <color theme="1"/>
      <name val="Arial"/>
    </font>
  </fonts>
  <fills count="5">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CCCCCC"/>
        <bgColor rgb="FFCCCCCC"/>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70">
    <xf numFmtId="0" fontId="0" fillId="0" borderId="0" xfId="0"/>
    <xf numFmtId="0" fontId="1" fillId="0" borderId="0" xfId="0" applyFont="1"/>
    <xf numFmtId="0" fontId="2" fillId="0" borderId="0" xfId="0" applyFont="1"/>
    <xf numFmtId="0" fontId="3" fillId="0" borderId="0" xfId="0" applyFont="1"/>
    <xf numFmtId="0" fontId="1" fillId="2" borderId="1" xfId="0" applyFont="1" applyFill="1" applyBorder="1" applyAlignment="1">
      <alignment horizontal="center"/>
    </xf>
    <xf numFmtId="0" fontId="4" fillId="0" borderId="0" xfId="0" applyFont="1"/>
    <xf numFmtId="0" fontId="5" fillId="0" borderId="0" xfId="0" applyFont="1"/>
    <xf numFmtId="0" fontId="3" fillId="0" borderId="2" xfId="0" applyFont="1" applyBorder="1"/>
    <xf numFmtId="0" fontId="1" fillId="0" borderId="3" xfId="0" applyFont="1" applyBorder="1"/>
    <xf numFmtId="0" fontId="1" fillId="0" borderId="4" xfId="0" applyFont="1" applyBorder="1"/>
    <xf numFmtId="0" fontId="1" fillId="0" borderId="5" xfId="0" applyFont="1" applyBorder="1"/>
    <xf numFmtId="0" fontId="3" fillId="0" borderId="5" xfId="0" applyFont="1" applyBorder="1"/>
    <xf numFmtId="164" fontId="1" fillId="0" borderId="0" xfId="0" applyNumberFormat="1" applyFont="1"/>
    <xf numFmtId="1" fontId="6" fillId="0" borderId="6" xfId="0" applyNumberFormat="1" applyFont="1" applyBorder="1"/>
    <xf numFmtId="165" fontId="1" fillId="0" borderId="0" xfId="0" applyNumberFormat="1" applyFont="1"/>
    <xf numFmtId="9" fontId="1" fillId="0" borderId="5" xfId="0" applyNumberFormat="1" applyFont="1" applyBorder="1"/>
    <xf numFmtId="164" fontId="1" fillId="0" borderId="5" xfId="0" applyNumberFormat="1" applyFont="1" applyBorder="1"/>
    <xf numFmtId="0" fontId="1" fillId="0" borderId="7" xfId="0" applyFont="1" applyBorder="1"/>
    <xf numFmtId="0" fontId="7" fillId="0" borderId="5" xfId="0" applyFont="1" applyBorder="1"/>
    <xf numFmtId="0" fontId="1" fillId="0" borderId="8" xfId="0" applyFont="1" applyBorder="1"/>
    <xf numFmtId="10" fontId="1" fillId="0" borderId="8" xfId="0" applyNumberFormat="1" applyFont="1" applyBorder="1"/>
    <xf numFmtId="0" fontId="1" fillId="0" borderId="9" xfId="0" applyFont="1" applyBorder="1"/>
    <xf numFmtId="0" fontId="1" fillId="0" borderId="2" xfId="0" applyFont="1" applyBorder="1"/>
    <xf numFmtId="0" fontId="3" fillId="0" borderId="5" xfId="0" applyFont="1" applyBorder="1" applyAlignment="1">
      <alignment horizontal="right"/>
    </xf>
    <xf numFmtId="1" fontId="6" fillId="0" borderId="10" xfId="0" applyNumberFormat="1" applyFont="1" applyBorder="1"/>
    <xf numFmtId="0" fontId="3" fillId="0" borderId="7" xfId="0" applyFont="1" applyBorder="1" applyAlignment="1">
      <alignment horizontal="right"/>
    </xf>
    <xf numFmtId="0" fontId="3" fillId="0" borderId="9" xfId="0" quotePrefix="1" applyFont="1" applyBorder="1" applyAlignment="1">
      <alignment horizontal="right"/>
    </xf>
    <xf numFmtId="0" fontId="6" fillId="0" borderId="5" xfId="0" applyFont="1" applyBorder="1"/>
    <xf numFmtId="1" fontId="1" fillId="0" borderId="0" xfId="0" applyNumberFormat="1" applyFont="1"/>
    <xf numFmtId="164" fontId="1" fillId="0" borderId="9" xfId="0" applyNumberFormat="1" applyFont="1" applyBorder="1"/>
    <xf numFmtId="0" fontId="4" fillId="0" borderId="5" xfId="0" applyFont="1" applyBorder="1"/>
    <xf numFmtId="0" fontId="1" fillId="0" borderId="0" xfId="0" applyFont="1" applyAlignment="1">
      <alignment horizontal="center"/>
    </xf>
    <xf numFmtId="166" fontId="1" fillId="0" borderId="0" xfId="0" applyNumberFormat="1" applyFont="1" applyAlignment="1">
      <alignment horizontal="center"/>
    </xf>
    <xf numFmtId="0" fontId="3" fillId="0" borderId="7" xfId="0" applyFont="1" applyBorder="1"/>
    <xf numFmtId="164" fontId="3" fillId="0" borderId="9" xfId="0" applyNumberFormat="1" applyFont="1" applyBorder="1"/>
    <xf numFmtId="0" fontId="8" fillId="0" borderId="5" xfId="0" applyFont="1" applyBorder="1"/>
    <xf numFmtId="2" fontId="1" fillId="0" borderId="0" xfId="0" applyNumberFormat="1" applyFont="1"/>
    <xf numFmtId="0" fontId="3" fillId="0" borderId="8" xfId="0" applyFont="1" applyBorder="1"/>
    <xf numFmtId="164" fontId="1" fillId="0" borderId="8" xfId="0" applyNumberFormat="1" applyFont="1" applyBorder="1"/>
    <xf numFmtId="164" fontId="3" fillId="2" borderId="1" xfId="0" applyNumberFormat="1" applyFont="1" applyFill="1" applyBorder="1" applyAlignment="1">
      <alignment horizontal="center"/>
    </xf>
    <xf numFmtId="168" fontId="1" fillId="0" borderId="0" xfId="0" applyNumberFormat="1" applyFont="1"/>
    <xf numFmtId="0" fontId="6" fillId="3" borderId="6" xfId="0" applyFont="1" applyFill="1" applyBorder="1"/>
    <xf numFmtId="165" fontId="3" fillId="0" borderId="9" xfId="0" applyNumberFormat="1" applyFont="1" applyBorder="1"/>
    <xf numFmtId="164" fontId="3" fillId="2" borderId="11" xfId="0" applyNumberFormat="1" applyFont="1" applyFill="1" applyBorder="1" applyAlignment="1">
      <alignment horizontal="center"/>
    </xf>
    <xf numFmtId="0" fontId="9" fillId="0" borderId="0" xfId="0" applyFont="1"/>
    <xf numFmtId="1" fontId="1" fillId="2" borderId="1" xfId="0" applyNumberFormat="1" applyFont="1" applyFill="1" applyBorder="1" applyAlignment="1">
      <alignment horizontal="center"/>
    </xf>
    <xf numFmtId="0" fontId="10" fillId="0" borderId="0" xfId="0" applyFont="1"/>
    <xf numFmtId="10" fontId="1" fillId="2" borderId="1" xfId="0" applyNumberFormat="1" applyFont="1" applyFill="1" applyBorder="1" applyAlignment="1">
      <alignment horizontal="center"/>
    </xf>
    <xf numFmtId="169" fontId="2" fillId="0" borderId="0" xfId="0" applyNumberFormat="1" applyFont="1"/>
    <xf numFmtId="0" fontId="3" fillId="0" borderId="2" xfId="0" applyFont="1" applyBorder="1" applyAlignment="1">
      <alignment horizontal="right"/>
    </xf>
    <xf numFmtId="0" fontId="3" fillId="0" borderId="4" xfId="0" applyFont="1" applyBorder="1" applyAlignment="1">
      <alignment horizontal="right"/>
    </xf>
    <xf numFmtId="0" fontId="1" fillId="0" borderId="0" xfId="0" applyFont="1" applyAlignment="1">
      <alignment wrapText="1"/>
    </xf>
    <xf numFmtId="0" fontId="3" fillId="0" borderId="0" xfId="0" applyFont="1" applyAlignment="1">
      <alignment wrapText="1"/>
    </xf>
    <xf numFmtId="0" fontId="1" fillId="4" borderId="0" xfId="0" applyFont="1" applyFill="1"/>
    <xf numFmtId="170" fontId="1" fillId="0" borderId="0" xfId="0" applyNumberFormat="1" applyFont="1"/>
    <xf numFmtId="1" fontId="1" fillId="4" borderId="0" xfId="0" applyNumberFormat="1" applyFont="1" applyFill="1"/>
    <xf numFmtId="0" fontId="1" fillId="0" borderId="0" xfId="0" applyFont="1" applyFill="1"/>
    <xf numFmtId="164" fontId="1" fillId="0" borderId="0" xfId="0" applyNumberFormat="1" applyFont="1" applyFill="1"/>
    <xf numFmtId="0" fontId="1" fillId="0" borderId="10" xfId="0" applyFont="1" applyBorder="1"/>
    <xf numFmtId="0" fontId="3" fillId="0" borderId="10" xfId="0" applyFont="1" applyBorder="1"/>
    <xf numFmtId="164" fontId="1" fillId="0" borderId="10" xfId="0" applyNumberFormat="1" applyFont="1" applyBorder="1"/>
    <xf numFmtId="164" fontId="3" fillId="0" borderId="10" xfId="0" applyNumberFormat="1" applyFont="1" applyBorder="1"/>
    <xf numFmtId="0" fontId="3" fillId="0" borderId="10" xfId="0" applyFont="1" applyBorder="1" applyAlignment="1">
      <alignment horizontal="right"/>
    </xf>
    <xf numFmtId="0" fontId="3" fillId="0" borderId="10" xfId="0" quotePrefix="1" applyFont="1" applyBorder="1" applyAlignment="1">
      <alignment horizontal="right"/>
    </xf>
    <xf numFmtId="167" fontId="1" fillId="0" borderId="10" xfId="0" applyNumberFormat="1" applyFont="1" applyBorder="1"/>
    <xf numFmtId="164" fontId="3" fillId="0" borderId="10" xfId="0" applyNumberFormat="1" applyFont="1" applyBorder="1" applyAlignment="1">
      <alignment horizontal="center"/>
    </xf>
    <xf numFmtId="165" fontId="1" fillId="0" borderId="10" xfId="0" applyNumberFormat="1" applyFont="1" applyBorder="1"/>
    <xf numFmtId="0" fontId="8" fillId="0" borderId="7" xfId="0" applyFont="1" applyBorder="1"/>
    <xf numFmtId="1" fontId="1" fillId="0" borderId="10" xfId="0" applyNumberFormat="1" applyFont="1" applyBorder="1"/>
    <xf numFmtId="10" fontId="1" fillId="0" borderId="10"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962025</xdr:colOff>
      <xdr:row>52</xdr:row>
      <xdr:rowOff>190500</xdr:rowOff>
    </xdr:from>
    <xdr:ext cx="7467600" cy="601027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962025</xdr:colOff>
      <xdr:row>89</xdr:row>
      <xdr:rowOff>-190500</xdr:rowOff>
    </xdr:from>
    <xdr:ext cx="7172325" cy="5819775"/>
    <xdr:pic>
      <xdr:nvPicPr>
        <xdr:cNvPr id="3" name="image2.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962025</xdr:colOff>
      <xdr:row>123</xdr:row>
      <xdr:rowOff>-190500</xdr:rowOff>
    </xdr:from>
    <xdr:ext cx="21135975" cy="7905750"/>
    <xdr:pic>
      <xdr:nvPicPr>
        <xdr:cNvPr id="4" name="image3.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20232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2324"/>
    </sheet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universal-infant-free-school-meals-uifsm-2023-to-2024" TargetMode="External"/><Relationship Id="rId2" Type="http://schemas.openxmlformats.org/officeDocument/2006/relationships/hyperlink" Target="https://www.gov.uk/government/publications/pupil-premium/pupil-premium" TargetMode="External"/><Relationship Id="rId1" Type="http://schemas.openxmlformats.org/officeDocument/2006/relationships/hyperlink" Target="https://www.gov.uk/government/publications/teachers-pay-additional-grant-2023-to-2024" TargetMode="External"/><Relationship Id="rId6" Type="http://schemas.openxmlformats.org/officeDocument/2006/relationships/hyperlink" Target="https://www.gov.uk/government/publications/national-tutoring-programme-guidance-for-schools-academic-year-202324/national-tutoring-programme-guidance-for-schools-academic-year-202324" TargetMode="External"/><Relationship Id="rId5" Type="http://schemas.openxmlformats.org/officeDocument/2006/relationships/hyperlink" Target="https://www.gov.uk/guidance/pe-and-sport-premium-for-primary-schools" TargetMode="External"/><Relationship Id="rId4" Type="http://schemas.openxmlformats.org/officeDocument/2006/relationships/hyperlink" Target="https://www.gov.uk/government/publications/coronavirus-covid-19-recovery-premium-funding-allocations-and-conditions-of-grant-2023-to-202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71"/>
  <sheetViews>
    <sheetView showGridLines="0" tabSelected="1" workbookViewId="0">
      <selection activeCell="C2" sqref="C2"/>
    </sheetView>
  </sheetViews>
  <sheetFormatPr defaultColWidth="14.42578125" defaultRowHeight="15" customHeight="1"/>
  <cols>
    <col min="2" max="2" width="56.85546875" customWidth="1"/>
    <col min="3" max="3" width="28.42578125" customWidth="1"/>
    <col min="4" max="4" width="26.5703125" customWidth="1"/>
    <col min="5" max="5" width="20" customWidth="1"/>
    <col min="6" max="6" width="31.85546875" customWidth="1"/>
    <col min="10" max="10" width="16.42578125" customWidth="1"/>
    <col min="11" max="11" width="24.28515625" customWidth="1"/>
    <col min="12" max="12" width="38.85546875" customWidth="1"/>
    <col min="13" max="13" width="29" customWidth="1"/>
    <col min="14" max="14" width="13.2851562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2">
        <f>IFERROR(VLOOKUP(C2,#REF!,111,0),0)</f>
        <v>0</v>
      </c>
      <c r="B2" s="3" t="s">
        <v>0</v>
      </c>
      <c r="C2" s="4"/>
      <c r="D2" s="1"/>
      <c r="E2" s="1"/>
      <c r="F2" s="1"/>
      <c r="G2" s="1"/>
      <c r="H2" s="1"/>
      <c r="I2" s="1"/>
      <c r="J2" s="1"/>
      <c r="K2" s="1"/>
      <c r="L2" s="1"/>
      <c r="M2" s="1"/>
      <c r="N2" s="1"/>
      <c r="O2" s="1"/>
      <c r="P2" s="1"/>
      <c r="Q2" s="1"/>
      <c r="R2" s="1"/>
      <c r="S2" s="1"/>
      <c r="T2" s="1"/>
      <c r="U2" s="1"/>
      <c r="V2" s="1"/>
      <c r="W2" s="1"/>
      <c r="X2" s="1"/>
      <c r="Y2" s="1"/>
      <c r="Z2" s="1"/>
    </row>
    <row r="3" spans="1:26">
      <c r="A3" s="1"/>
      <c r="B3" s="1"/>
      <c r="C3" s="1"/>
      <c r="D3" s="1"/>
      <c r="E3" s="1"/>
      <c r="F3" s="1"/>
      <c r="G3" s="1"/>
      <c r="H3" s="1"/>
      <c r="I3" s="1"/>
      <c r="J3" s="5"/>
      <c r="K3" s="5"/>
      <c r="L3" s="1"/>
      <c r="M3" s="1"/>
      <c r="N3" s="1"/>
      <c r="O3" s="1"/>
      <c r="P3" s="1"/>
      <c r="Q3" s="1"/>
      <c r="R3" s="1"/>
      <c r="S3" s="1"/>
      <c r="T3" s="1"/>
      <c r="U3" s="1"/>
      <c r="V3" s="1"/>
      <c r="W3" s="1"/>
      <c r="X3" s="1"/>
      <c r="Y3" s="1"/>
      <c r="Z3" s="1"/>
    </row>
    <row r="4" spans="1:26">
      <c r="A4" s="1"/>
      <c r="B4" s="1"/>
      <c r="C4" s="1"/>
      <c r="D4" s="1"/>
      <c r="E4" s="1"/>
      <c r="F4" s="1"/>
      <c r="G4" s="1"/>
      <c r="H4" s="1"/>
      <c r="I4" s="1"/>
      <c r="J4" s="1"/>
      <c r="K4" s="5"/>
      <c r="L4" s="1"/>
      <c r="M4" s="1"/>
      <c r="N4" s="1"/>
      <c r="O4" s="1"/>
      <c r="P4" s="1"/>
      <c r="Q4" s="1"/>
      <c r="R4" s="1"/>
      <c r="S4" s="1"/>
      <c r="T4" s="1"/>
      <c r="U4" s="1"/>
      <c r="V4" s="1"/>
      <c r="W4" s="1"/>
      <c r="X4" s="1"/>
      <c r="Y4" s="1"/>
      <c r="Z4" s="1"/>
    </row>
    <row r="5" spans="1:26" ht="35.25" customHeight="1">
      <c r="A5" s="1"/>
      <c r="B5" s="6" t="str">
        <f>IFERROR(VLOOKUP($C$2,Lookups!$A:$CR,2,0),"")</f>
        <v/>
      </c>
      <c r="C5" s="1"/>
      <c r="D5" s="1"/>
      <c r="E5" s="1"/>
      <c r="F5" s="1"/>
      <c r="G5" s="1"/>
      <c r="H5" s="1"/>
      <c r="I5" s="1"/>
      <c r="J5" s="1"/>
      <c r="K5" s="1"/>
      <c r="L5" s="1"/>
      <c r="M5" s="1"/>
      <c r="N5" s="1"/>
      <c r="O5" s="1"/>
      <c r="P5" s="1"/>
      <c r="Q5" s="1"/>
      <c r="R5" s="1"/>
      <c r="S5" s="1"/>
      <c r="T5" s="1"/>
      <c r="U5" s="1"/>
      <c r="V5" s="1"/>
      <c r="W5" s="1"/>
      <c r="X5" s="1"/>
      <c r="Y5" s="1"/>
      <c r="Z5" s="1"/>
    </row>
    <row r="6" spans="1:26">
      <c r="A6" s="1"/>
      <c r="B6" s="1"/>
      <c r="C6" s="1"/>
      <c r="D6" s="1"/>
      <c r="E6" s="1"/>
      <c r="F6" s="1"/>
      <c r="G6" s="1"/>
      <c r="H6" s="1"/>
      <c r="I6" s="1"/>
      <c r="J6" s="1"/>
      <c r="K6" s="1"/>
      <c r="L6" s="1"/>
      <c r="M6" s="1"/>
      <c r="N6" s="1"/>
      <c r="O6" s="1"/>
      <c r="P6" s="1"/>
      <c r="Q6" s="1"/>
      <c r="R6" s="1"/>
      <c r="S6" s="1"/>
      <c r="T6" s="1"/>
      <c r="U6" s="1"/>
      <c r="V6" s="1"/>
      <c r="W6" s="1"/>
      <c r="X6" s="1"/>
      <c r="Y6" s="1"/>
      <c r="Z6" s="1"/>
    </row>
    <row r="7" spans="1:26">
      <c r="A7" s="1"/>
      <c r="B7" s="1"/>
      <c r="C7" s="1"/>
      <c r="D7" s="1"/>
      <c r="E7" s="1"/>
      <c r="F7" s="1"/>
      <c r="G7" s="1"/>
      <c r="H7" s="5"/>
      <c r="I7" s="1"/>
      <c r="J7" s="1"/>
      <c r="K7" s="1"/>
      <c r="L7" s="1"/>
      <c r="M7" s="1"/>
      <c r="N7" s="1"/>
      <c r="O7" s="1"/>
      <c r="P7" s="1"/>
      <c r="Q7" s="1"/>
      <c r="R7" s="1"/>
      <c r="S7" s="1"/>
      <c r="T7" s="1"/>
      <c r="U7" s="1"/>
      <c r="V7" s="1"/>
      <c r="W7" s="1"/>
      <c r="X7" s="1"/>
      <c r="Y7" s="1"/>
      <c r="Z7" s="1"/>
    </row>
    <row r="8" spans="1:26">
      <c r="A8" s="1"/>
      <c r="B8" s="7" t="s">
        <v>1</v>
      </c>
      <c r="C8" s="8"/>
      <c r="D8" s="8"/>
      <c r="E8" s="8"/>
      <c r="F8" s="9"/>
      <c r="G8" s="1"/>
      <c r="H8" s="7" t="s">
        <v>2</v>
      </c>
      <c r="I8" s="9"/>
      <c r="J8" s="1"/>
      <c r="K8" s="7" t="s">
        <v>3</v>
      </c>
      <c r="L8" s="8"/>
      <c r="M8" s="8"/>
      <c r="N8" s="9"/>
      <c r="O8" s="1"/>
      <c r="P8" s="1"/>
      <c r="Q8" s="1"/>
      <c r="R8" s="1"/>
      <c r="S8" s="1"/>
      <c r="T8" s="1"/>
      <c r="U8" s="1"/>
      <c r="V8" s="1"/>
      <c r="W8" s="1"/>
      <c r="X8" s="1"/>
      <c r="Y8" s="1"/>
      <c r="Z8" s="1"/>
    </row>
    <row r="9" spans="1:26">
      <c r="A9" s="1"/>
      <c r="B9" s="10"/>
      <c r="C9" s="1"/>
      <c r="D9" s="1"/>
      <c r="E9" s="1"/>
      <c r="F9" s="58"/>
      <c r="G9" s="1"/>
      <c r="H9" s="11" t="s">
        <v>4</v>
      </c>
      <c r="I9" s="58"/>
      <c r="J9" s="1"/>
      <c r="K9" s="10"/>
      <c r="L9" s="1"/>
      <c r="M9" s="1"/>
      <c r="N9" s="58"/>
      <c r="O9" s="1"/>
      <c r="P9" s="1"/>
      <c r="Q9" s="1"/>
      <c r="R9" s="1"/>
      <c r="S9" s="1"/>
      <c r="T9" s="1"/>
      <c r="U9" s="1"/>
      <c r="V9" s="1"/>
      <c r="W9" s="1"/>
      <c r="X9" s="1"/>
      <c r="Y9" s="1"/>
      <c r="Z9" s="1"/>
    </row>
    <row r="10" spans="1:26">
      <c r="A10" s="1"/>
      <c r="B10" s="11" t="s">
        <v>5</v>
      </c>
      <c r="C10" s="1"/>
      <c r="D10" s="1"/>
      <c r="E10" s="1"/>
      <c r="F10" s="58"/>
      <c r="G10" s="1"/>
      <c r="H10" s="10"/>
      <c r="I10" s="58"/>
      <c r="J10" s="1"/>
      <c r="K10" s="10" t="s">
        <v>6</v>
      </c>
      <c r="L10" s="1" t="s">
        <v>7</v>
      </c>
      <c r="M10" s="1" t="s">
        <v>8</v>
      </c>
      <c r="N10" s="58" t="s">
        <v>9</v>
      </c>
      <c r="O10" s="1"/>
      <c r="P10" s="1"/>
      <c r="Q10" s="1"/>
      <c r="R10" s="1"/>
      <c r="S10" s="1"/>
      <c r="T10" s="1"/>
      <c r="U10" s="1"/>
      <c r="V10" s="1"/>
      <c r="W10" s="1"/>
      <c r="X10" s="1"/>
      <c r="Y10" s="1"/>
      <c r="Z10" s="1"/>
    </row>
    <row r="11" spans="1:26">
      <c r="A11" s="1"/>
      <c r="B11" s="10"/>
      <c r="C11" s="1"/>
      <c r="D11" s="3" t="s">
        <v>10</v>
      </c>
      <c r="E11" s="3" t="s">
        <v>11</v>
      </c>
      <c r="F11" s="59" t="s">
        <v>12</v>
      </c>
      <c r="G11" s="1"/>
      <c r="H11" s="10"/>
      <c r="I11" s="58"/>
      <c r="J11" s="1"/>
      <c r="K11" s="10"/>
      <c r="L11" s="1"/>
      <c r="M11" s="12"/>
      <c r="N11" s="60"/>
      <c r="O11" s="1"/>
      <c r="P11" s="1"/>
      <c r="Q11" s="1"/>
      <c r="R11" s="1"/>
      <c r="S11" s="1"/>
      <c r="T11" s="1"/>
      <c r="U11" s="1"/>
      <c r="V11" s="1"/>
      <c r="W11" s="1"/>
      <c r="X11" s="1"/>
      <c r="Y11" s="1"/>
      <c r="Z11" s="1"/>
    </row>
    <row r="12" spans="1:26">
      <c r="A12" s="1"/>
      <c r="B12" s="10" t="s">
        <v>13</v>
      </c>
      <c r="C12" s="1" t="s">
        <v>14</v>
      </c>
      <c r="D12" s="13">
        <f>IFERROR(VLOOKUP($C$2,Lookups!$A:$CR,5,0),0)</f>
        <v>0</v>
      </c>
      <c r="E12" s="14">
        <f>IF($D$12&gt;0,4750.51,IF($D$13&gt;0,0,0))</f>
        <v>0</v>
      </c>
      <c r="F12" s="60">
        <f t="shared" ref="F12:F26" si="0">IFERROR(D12*E12,0)</f>
        <v>0</v>
      </c>
      <c r="G12" s="1"/>
      <c r="H12" s="15">
        <v>0</v>
      </c>
      <c r="I12" s="60">
        <v>0</v>
      </c>
      <c r="J12" s="1"/>
      <c r="K12" s="16">
        <f>IFERROR(VLOOKUP($C$2,Lookups!$A:$CR,61,0),0)</f>
        <v>0</v>
      </c>
      <c r="L12" s="12">
        <f>IFERROR(VLOOKUP($C$2,Lookups!$A:$CR,79,0),0)</f>
        <v>0</v>
      </c>
      <c r="M12" s="12">
        <f t="shared" ref="M12:M27" si="1">K12+L12</f>
        <v>0</v>
      </c>
      <c r="N12" s="60">
        <f t="shared" ref="N12:N27" si="2">IFERROR(F12-M12,"")</f>
        <v>0</v>
      </c>
      <c r="O12" s="1"/>
      <c r="P12" s="1"/>
      <c r="Q12" s="1"/>
      <c r="R12" s="1"/>
      <c r="S12" s="1"/>
      <c r="T12" s="1"/>
      <c r="U12" s="1"/>
      <c r="V12" s="1"/>
      <c r="W12" s="1"/>
      <c r="X12" s="1"/>
      <c r="Y12" s="1"/>
      <c r="Z12" s="1"/>
    </row>
    <row r="13" spans="1:26">
      <c r="A13" s="1"/>
      <c r="B13" s="10"/>
      <c r="C13" s="1" t="s">
        <v>15</v>
      </c>
      <c r="D13" s="13">
        <f>IFERROR(VLOOKUP($C$2,Lookups!$A:$CR,6,0),0)</f>
        <v>0</v>
      </c>
      <c r="E13" s="14">
        <f>IF($D$12&gt;0,0,IF($D$13&gt;0,6692.02,0))</f>
        <v>0</v>
      </c>
      <c r="F13" s="60">
        <f t="shared" si="0"/>
        <v>0</v>
      </c>
      <c r="G13" s="1"/>
      <c r="H13" s="15">
        <v>0</v>
      </c>
      <c r="I13" s="60">
        <v>0</v>
      </c>
      <c r="J13" s="1"/>
      <c r="K13" s="16">
        <f>IFERROR(VLOOKUP($C$2,Lookups!$A:$CR,62,0),0)</f>
        <v>0</v>
      </c>
      <c r="L13" s="12">
        <f>IFERROR(VLOOKUP($C$2,Lookups!$A:$CR,80,0),0)</f>
        <v>0</v>
      </c>
      <c r="M13" s="12">
        <f t="shared" si="1"/>
        <v>0</v>
      </c>
      <c r="N13" s="60">
        <f t="shared" si="2"/>
        <v>0</v>
      </c>
      <c r="O13" s="1"/>
      <c r="P13" s="1"/>
      <c r="Q13" s="1"/>
      <c r="R13" s="1"/>
      <c r="S13" s="1"/>
      <c r="T13" s="1"/>
      <c r="U13" s="1"/>
      <c r="V13" s="1"/>
      <c r="W13" s="1"/>
      <c r="X13" s="1"/>
      <c r="Y13" s="1"/>
      <c r="Z13" s="1"/>
    </row>
    <row r="14" spans="1:26">
      <c r="A14" s="1"/>
      <c r="B14" s="10"/>
      <c r="C14" s="1" t="s">
        <v>16</v>
      </c>
      <c r="D14" s="13">
        <f>IFERROR(VLOOKUP($C$2,Lookups!$A:$CR,7,0),0)</f>
        <v>0</v>
      </c>
      <c r="E14" s="14">
        <f>IF($D$12&gt;0,0,IF($D$13&gt;0,7211.92,0))</f>
        <v>0</v>
      </c>
      <c r="F14" s="60">
        <f t="shared" si="0"/>
        <v>0</v>
      </c>
      <c r="G14" s="12"/>
      <c r="H14" s="15">
        <v>0</v>
      </c>
      <c r="I14" s="60">
        <v>0</v>
      </c>
      <c r="J14" s="1"/>
      <c r="K14" s="16">
        <f>IFERROR(VLOOKUP($C$2,Lookups!$A:$CR,63,0),0)</f>
        <v>0</v>
      </c>
      <c r="L14" s="12">
        <f>IFERROR(VLOOKUP($C$2,Lookups!$A:$CR,81,0),0)</f>
        <v>0</v>
      </c>
      <c r="M14" s="12">
        <f t="shared" si="1"/>
        <v>0</v>
      </c>
      <c r="N14" s="60">
        <f t="shared" si="2"/>
        <v>0</v>
      </c>
      <c r="O14" s="1"/>
      <c r="P14" s="1"/>
      <c r="Q14" s="1"/>
      <c r="R14" s="1"/>
      <c r="S14" s="1"/>
      <c r="T14" s="1"/>
      <c r="U14" s="1"/>
      <c r="V14" s="1"/>
      <c r="W14" s="1"/>
      <c r="X14" s="1"/>
      <c r="Y14" s="1"/>
      <c r="Z14" s="1"/>
    </row>
    <row r="15" spans="1:26">
      <c r="A15" s="1"/>
      <c r="B15" s="10" t="s">
        <v>17</v>
      </c>
      <c r="C15" s="1"/>
      <c r="D15" s="13">
        <f>IFERROR(VLOOKUP($C$2,Lookups!$A:$CR,9,0),0)+IFERROR(VLOOKUP($C$2,Lookups!$A:$CR,10,0),0)</f>
        <v>0</v>
      </c>
      <c r="E15" s="14">
        <f>IF($D$12&gt;0,581.46,IF($D$13&gt;0,581.46,0))</f>
        <v>0</v>
      </c>
      <c r="F15" s="60">
        <f t="shared" si="0"/>
        <v>0</v>
      </c>
      <c r="G15" s="12"/>
      <c r="H15" s="15">
        <v>0</v>
      </c>
      <c r="I15" s="60">
        <v>0</v>
      </c>
      <c r="J15" s="1"/>
      <c r="K15" s="16">
        <f>IFERROR(VLOOKUP($C$2,Lookups!$A:$CR,64,0),0)</f>
        <v>0</v>
      </c>
      <c r="L15" s="12"/>
      <c r="M15" s="12">
        <f t="shared" si="1"/>
        <v>0</v>
      </c>
      <c r="N15" s="60">
        <f t="shared" si="2"/>
        <v>0</v>
      </c>
      <c r="O15" s="1"/>
      <c r="P15" s="1"/>
      <c r="Q15" s="1"/>
      <c r="R15" s="1"/>
      <c r="S15" s="1"/>
      <c r="T15" s="1"/>
      <c r="U15" s="1"/>
      <c r="V15" s="1"/>
      <c r="W15" s="1"/>
      <c r="X15" s="1"/>
      <c r="Y15" s="1"/>
      <c r="Z15" s="1"/>
    </row>
    <row r="16" spans="1:26">
      <c r="A16" s="1"/>
      <c r="B16" s="10" t="s">
        <v>18</v>
      </c>
      <c r="C16" s="1"/>
      <c r="D16" s="13">
        <f>IFERROR(VLOOKUP($C$2,Lookups!$A:$CR,12,0),0)+IFERROR(VLOOKUP($C$2,Lookups!$A:$CR,13,0),0)</f>
        <v>0</v>
      </c>
      <c r="E16" s="14">
        <f>IF($D$12&gt;0,973.06,IF($D$13&gt;0,1423.99,0))</f>
        <v>0</v>
      </c>
      <c r="F16" s="60">
        <f t="shared" si="0"/>
        <v>0</v>
      </c>
      <c r="G16" s="12"/>
      <c r="H16" s="15">
        <v>1</v>
      </c>
      <c r="I16" s="60">
        <f t="shared" ref="I16:I25" si="3">F16*H16</f>
        <v>0</v>
      </c>
      <c r="J16" s="1"/>
      <c r="K16" s="16">
        <f>IFERROR(VLOOKUP($C$2,Lookups!$A:$CR,65,0),0)</f>
        <v>0</v>
      </c>
      <c r="L16" s="12">
        <f>IFERROR(VLOOKUP($C$2,Lookups!$A:$CR,82,0),0)</f>
        <v>0</v>
      </c>
      <c r="M16" s="12">
        <f t="shared" si="1"/>
        <v>0</v>
      </c>
      <c r="N16" s="60">
        <f t="shared" si="2"/>
        <v>0</v>
      </c>
      <c r="O16" s="1"/>
      <c r="P16" s="1"/>
      <c r="Q16" s="1"/>
      <c r="R16" s="1"/>
      <c r="S16" s="1"/>
      <c r="T16" s="1"/>
      <c r="U16" s="1"/>
      <c r="V16" s="1"/>
      <c r="W16" s="1"/>
      <c r="X16" s="1"/>
      <c r="Y16" s="1"/>
      <c r="Z16" s="1"/>
    </row>
    <row r="17" spans="1:26">
      <c r="A17" s="1"/>
      <c r="B17" s="10" t="s">
        <v>19</v>
      </c>
      <c r="C17" s="1" t="s">
        <v>20</v>
      </c>
      <c r="D17" s="13">
        <f>IFERROR(VLOOKUP($C$2,Lookups!$A:$CR,15,0),0)+IFERROR(VLOOKUP($C$2,Lookups!$A:$CR,21,0),0)</f>
        <v>0</v>
      </c>
      <c r="E17" s="14">
        <f>IF($D$12&gt;0,278.87,IF($D$13&gt;0,403.46,0))</f>
        <v>0</v>
      </c>
      <c r="F17" s="60">
        <f t="shared" si="0"/>
        <v>0</v>
      </c>
      <c r="G17" s="12"/>
      <c r="H17" s="15">
        <v>1</v>
      </c>
      <c r="I17" s="60">
        <f t="shared" si="3"/>
        <v>0</v>
      </c>
      <c r="J17" s="1"/>
      <c r="K17" s="16">
        <f>IFERROR(VLOOKUP($C$2,Lookups!$A:$CR,66,0),0)</f>
        <v>0</v>
      </c>
      <c r="L17" s="12"/>
      <c r="M17" s="12">
        <f t="shared" si="1"/>
        <v>0</v>
      </c>
      <c r="N17" s="60">
        <f t="shared" si="2"/>
        <v>0</v>
      </c>
      <c r="O17" s="1"/>
      <c r="P17" s="1"/>
      <c r="Q17" s="1"/>
      <c r="R17" s="1"/>
      <c r="S17" s="1"/>
      <c r="T17" s="1"/>
      <c r="U17" s="1"/>
      <c r="V17" s="1"/>
      <c r="W17" s="1"/>
      <c r="X17" s="1"/>
      <c r="Y17" s="1"/>
      <c r="Z17" s="1"/>
    </row>
    <row r="18" spans="1:26">
      <c r="A18" s="1"/>
      <c r="B18" s="10"/>
      <c r="C18" s="1" t="s">
        <v>21</v>
      </c>
      <c r="D18" s="13">
        <f>IFERROR(VLOOKUP($C$2,Lookups!$A:$CR,16,0),0)+IFERROR(VLOOKUP($C$2,Lookups!$A:$CR,22,0),0)</f>
        <v>0</v>
      </c>
      <c r="E18" s="14">
        <f>IF($D$12&gt;0,338.2,IF($D$13&gt;0,534,0))</f>
        <v>0</v>
      </c>
      <c r="F18" s="60">
        <f t="shared" si="0"/>
        <v>0</v>
      </c>
      <c r="G18" s="12"/>
      <c r="H18" s="15">
        <v>1</v>
      </c>
      <c r="I18" s="60">
        <f t="shared" si="3"/>
        <v>0</v>
      </c>
      <c r="J18" s="1"/>
      <c r="K18" s="16">
        <f>IFERROR(VLOOKUP($C$2,Lookups!$A:$CR,67,0),0)</f>
        <v>0</v>
      </c>
      <c r="L18" s="12"/>
      <c r="M18" s="12">
        <f t="shared" si="1"/>
        <v>0</v>
      </c>
      <c r="N18" s="60">
        <f t="shared" si="2"/>
        <v>0</v>
      </c>
      <c r="O18" s="1"/>
      <c r="P18" s="1"/>
      <c r="Q18" s="1"/>
      <c r="R18" s="1"/>
      <c r="S18" s="1"/>
      <c r="T18" s="1"/>
      <c r="U18" s="1"/>
      <c r="V18" s="1"/>
      <c r="W18" s="1"/>
      <c r="X18" s="1"/>
      <c r="Y18" s="1"/>
      <c r="Z18" s="1"/>
    </row>
    <row r="19" spans="1:26">
      <c r="A19" s="1"/>
      <c r="B19" s="10"/>
      <c r="C19" s="1" t="s">
        <v>22</v>
      </c>
      <c r="D19" s="13">
        <f>IFERROR(VLOOKUP($C$2,Lookups!$A:$CR,17,0),0)+IFERROR(VLOOKUP($C$2,Lookups!$A:$CR,23,0),0)</f>
        <v>0</v>
      </c>
      <c r="E19" s="14">
        <f>IF($D$12&gt;0,528.06,IF($D$13&gt;0,747.6,0))</f>
        <v>0</v>
      </c>
      <c r="F19" s="60">
        <f t="shared" si="0"/>
        <v>0</v>
      </c>
      <c r="G19" s="12"/>
      <c r="H19" s="15">
        <v>1</v>
      </c>
      <c r="I19" s="60">
        <f t="shared" si="3"/>
        <v>0</v>
      </c>
      <c r="J19" s="1"/>
      <c r="K19" s="16">
        <f>IFERROR(VLOOKUP($C$2,Lookups!$A:$CR,68,0),0)</f>
        <v>0</v>
      </c>
      <c r="L19" s="12"/>
      <c r="M19" s="12">
        <f t="shared" si="1"/>
        <v>0</v>
      </c>
      <c r="N19" s="60">
        <f t="shared" si="2"/>
        <v>0</v>
      </c>
      <c r="O19" s="1"/>
      <c r="P19" s="1"/>
      <c r="Q19" s="1"/>
      <c r="R19" s="1"/>
      <c r="S19" s="1"/>
      <c r="T19" s="1"/>
      <c r="U19" s="1"/>
      <c r="V19" s="1"/>
      <c r="W19" s="1"/>
      <c r="X19" s="1"/>
      <c r="Y19" s="1"/>
      <c r="Z19" s="1"/>
    </row>
    <row r="20" spans="1:26">
      <c r="A20" s="1"/>
      <c r="B20" s="10"/>
      <c r="C20" s="1" t="s">
        <v>23</v>
      </c>
      <c r="D20" s="13">
        <f>IFERROR(VLOOKUP($C$2,Lookups!$A:$CR,18,0),0)+IFERROR(VLOOKUP($C$2,Lookups!$A:$CR,24,0),0)</f>
        <v>0</v>
      </c>
      <c r="E20" s="14">
        <f>IF($D$12&gt;0,575.53,IF($D$13&gt;0,818.8,0))</f>
        <v>0</v>
      </c>
      <c r="F20" s="60">
        <f t="shared" si="0"/>
        <v>0</v>
      </c>
      <c r="G20" s="12"/>
      <c r="H20" s="15">
        <v>1</v>
      </c>
      <c r="I20" s="60">
        <f t="shared" si="3"/>
        <v>0</v>
      </c>
      <c r="J20" s="1"/>
      <c r="K20" s="16">
        <f>IFERROR(VLOOKUP($C$2,Lookups!$A:$CR,69,0),0)</f>
        <v>0</v>
      </c>
      <c r="L20" s="12"/>
      <c r="M20" s="12">
        <f t="shared" si="1"/>
        <v>0</v>
      </c>
      <c r="N20" s="60">
        <f t="shared" si="2"/>
        <v>0</v>
      </c>
      <c r="O20" s="1"/>
      <c r="P20" s="1"/>
      <c r="Q20" s="1"/>
      <c r="R20" s="1"/>
      <c r="S20" s="1"/>
      <c r="T20" s="1"/>
      <c r="U20" s="1"/>
      <c r="V20" s="1"/>
      <c r="W20" s="1"/>
      <c r="X20" s="1"/>
      <c r="Y20" s="1"/>
      <c r="Z20" s="1"/>
    </row>
    <row r="21" spans="1:26">
      <c r="A21" s="1"/>
      <c r="B21" s="10"/>
      <c r="C21" s="1" t="s">
        <v>24</v>
      </c>
      <c r="D21" s="13">
        <f>IFERROR(VLOOKUP($C$2,Lookups!$A:$CR,19,0),0)+IFERROR(VLOOKUP($C$2,Lookups!$A:$CR,25,0),0)</f>
        <v>0</v>
      </c>
      <c r="E21" s="14">
        <f>IF($D$12&gt;0,611.13,IF($D$13&gt;0,878.13,0))</f>
        <v>0</v>
      </c>
      <c r="F21" s="60">
        <f t="shared" si="0"/>
        <v>0</v>
      </c>
      <c r="G21" s="12"/>
      <c r="H21" s="15">
        <v>1</v>
      </c>
      <c r="I21" s="60">
        <f t="shared" si="3"/>
        <v>0</v>
      </c>
      <c r="J21" s="1"/>
      <c r="K21" s="16">
        <f>IFERROR(VLOOKUP($C$2,Lookups!$A:$CR,70,0),0)</f>
        <v>0</v>
      </c>
      <c r="L21" s="12"/>
      <c r="M21" s="12">
        <f t="shared" si="1"/>
        <v>0</v>
      </c>
      <c r="N21" s="60">
        <f t="shared" si="2"/>
        <v>0</v>
      </c>
      <c r="O21" s="1"/>
      <c r="P21" s="1"/>
      <c r="Q21" s="1"/>
      <c r="R21" s="1"/>
      <c r="S21" s="1"/>
      <c r="T21" s="1"/>
      <c r="U21" s="1"/>
      <c r="V21" s="1"/>
      <c r="W21" s="1"/>
      <c r="X21" s="1"/>
      <c r="Y21" s="1"/>
      <c r="Z21" s="1"/>
    </row>
    <row r="22" spans="1:26">
      <c r="A22" s="1"/>
      <c r="B22" s="10"/>
      <c r="C22" s="1" t="s">
        <v>25</v>
      </c>
      <c r="D22" s="13">
        <f>IFERROR(VLOOKUP($C$2,Lookups!$A:$CR,20,0),0)+IFERROR(VLOOKUP($C$2,Lookups!$A:$CR,26,0),0)</f>
        <v>0</v>
      </c>
      <c r="E22" s="14">
        <f>IF($D$12&gt;0,806.93,IF($D$13&gt;0,1121.39,0))</f>
        <v>0</v>
      </c>
      <c r="F22" s="60">
        <f t="shared" si="0"/>
        <v>0</v>
      </c>
      <c r="G22" s="12"/>
      <c r="H22" s="15">
        <v>1</v>
      </c>
      <c r="I22" s="60">
        <f t="shared" si="3"/>
        <v>0</v>
      </c>
      <c r="J22" s="1"/>
      <c r="K22" s="16">
        <f>IFERROR(VLOOKUP($C$2,Lookups!$A:$CR,71,0),0)</f>
        <v>0</v>
      </c>
      <c r="L22" s="12"/>
      <c r="M22" s="12">
        <f t="shared" si="1"/>
        <v>0</v>
      </c>
      <c r="N22" s="60">
        <f t="shared" si="2"/>
        <v>0</v>
      </c>
      <c r="O22" s="1"/>
      <c r="P22" s="1"/>
      <c r="Q22" s="1"/>
      <c r="R22" s="1"/>
      <c r="S22" s="1"/>
      <c r="T22" s="1"/>
      <c r="U22" s="1"/>
      <c r="V22" s="1"/>
      <c r="W22" s="1"/>
      <c r="X22" s="1"/>
      <c r="Y22" s="1"/>
      <c r="Z22" s="1"/>
    </row>
    <row r="23" spans="1:26">
      <c r="A23" s="1"/>
      <c r="B23" s="10" t="s">
        <v>26</v>
      </c>
      <c r="C23" s="1"/>
      <c r="D23" s="13">
        <f>IFERROR(VLOOKUP($C$2,Lookups!$A:$CR,28,0),0)+IFERROR(VLOOKUP($C$2,Lookups!$A:$CR,29,0),0)</f>
        <v>0</v>
      </c>
      <c r="E23" s="14">
        <f>IF($D$12&gt;0,700.13,IF($D$13&gt;0,1880.86,0))</f>
        <v>0</v>
      </c>
      <c r="F23" s="60">
        <f t="shared" si="0"/>
        <v>0</v>
      </c>
      <c r="G23" s="12"/>
      <c r="H23" s="15">
        <v>1</v>
      </c>
      <c r="I23" s="60">
        <f t="shared" si="3"/>
        <v>0</v>
      </c>
      <c r="J23" s="1"/>
      <c r="K23" s="16">
        <f>IFERROR(VLOOKUP($C$2,Lookups!$A:$CR,72,0),0)</f>
        <v>0</v>
      </c>
      <c r="L23" s="12"/>
      <c r="M23" s="12">
        <f t="shared" si="1"/>
        <v>0</v>
      </c>
      <c r="N23" s="60">
        <f t="shared" si="2"/>
        <v>0</v>
      </c>
      <c r="O23" s="1"/>
      <c r="P23" s="1"/>
      <c r="Q23" s="1"/>
      <c r="R23" s="1"/>
      <c r="S23" s="1"/>
      <c r="T23" s="1"/>
      <c r="U23" s="1"/>
      <c r="V23" s="1"/>
      <c r="W23" s="1"/>
      <c r="X23" s="1"/>
      <c r="Y23" s="1"/>
      <c r="Z23" s="1"/>
    </row>
    <row r="24" spans="1:26">
      <c r="A24" s="1"/>
      <c r="B24" s="10" t="s">
        <v>27</v>
      </c>
      <c r="C24" s="1"/>
      <c r="D24" s="13">
        <f>IFERROR(VLOOKUP($C$2,Lookups!$A:$CR,31,0),0)+IFERROR(VLOOKUP($C$2,Lookups!$A:$CR,32,0),0)</f>
        <v>0</v>
      </c>
      <c r="E24" s="14">
        <f>IF($D$12&gt;0,1388.39,IF($D$13&gt;0,2106.32,0))</f>
        <v>0</v>
      </c>
      <c r="F24" s="60">
        <f t="shared" si="0"/>
        <v>0</v>
      </c>
      <c r="G24" s="12"/>
      <c r="H24" s="15">
        <v>1</v>
      </c>
      <c r="I24" s="60">
        <f t="shared" si="3"/>
        <v>0</v>
      </c>
      <c r="J24" s="1"/>
      <c r="K24" s="16">
        <f>IFERROR(VLOOKUP($C$2,Lookups!$A:$CR,73,0),0)</f>
        <v>0</v>
      </c>
      <c r="L24" s="12"/>
      <c r="M24" s="12">
        <f t="shared" si="1"/>
        <v>0</v>
      </c>
      <c r="N24" s="60">
        <f t="shared" si="2"/>
        <v>0</v>
      </c>
      <c r="O24" s="1"/>
      <c r="P24" s="1"/>
      <c r="Q24" s="1"/>
      <c r="R24" s="1"/>
      <c r="S24" s="1"/>
      <c r="T24" s="1"/>
      <c r="U24" s="1"/>
      <c r="V24" s="1"/>
      <c r="W24" s="1"/>
      <c r="X24" s="1"/>
      <c r="Y24" s="1"/>
      <c r="Z24" s="1"/>
    </row>
    <row r="25" spans="1:26">
      <c r="A25" s="1"/>
      <c r="B25" s="10" t="s">
        <v>28</v>
      </c>
      <c r="C25" s="1"/>
      <c r="D25" s="13">
        <f>IFERROR(VLOOKUP($C$2,Lookups!$A:$CR,34,0),0)+IFERROR(VLOOKUP($C$2,Lookups!$A:$CR,35,0),0)</f>
        <v>0</v>
      </c>
      <c r="E25" s="14">
        <f>IF($D$12&gt;0,1139.19,IF($D$13&gt;0,1637.59,0))</f>
        <v>0</v>
      </c>
      <c r="F25" s="60">
        <f t="shared" si="0"/>
        <v>0</v>
      </c>
      <c r="G25" s="12"/>
      <c r="H25" s="15">
        <v>1</v>
      </c>
      <c r="I25" s="60">
        <f t="shared" si="3"/>
        <v>0</v>
      </c>
      <c r="J25" s="1"/>
      <c r="K25" s="16">
        <f>IFERROR(VLOOKUP($C$2,Lookups!$A:$CR,74,0),0)</f>
        <v>0</v>
      </c>
      <c r="L25" s="12"/>
      <c r="M25" s="12">
        <f t="shared" si="1"/>
        <v>0</v>
      </c>
      <c r="N25" s="60">
        <f t="shared" si="2"/>
        <v>0</v>
      </c>
      <c r="O25" s="1"/>
      <c r="P25" s="1"/>
      <c r="Q25" s="1"/>
      <c r="R25" s="1"/>
      <c r="S25" s="1"/>
      <c r="T25" s="1"/>
      <c r="U25" s="1"/>
      <c r="V25" s="1"/>
      <c r="W25" s="1"/>
      <c r="X25" s="1"/>
      <c r="Y25" s="1"/>
      <c r="Z25" s="1"/>
    </row>
    <row r="26" spans="1:26">
      <c r="A26" s="1"/>
      <c r="B26" s="10" t="s">
        <v>29</v>
      </c>
      <c r="C26" s="1"/>
      <c r="D26" s="13">
        <f>IF(SUM(D12:D14)&gt;0,1,0)</f>
        <v>0</v>
      </c>
      <c r="E26" s="14">
        <f>IF(SUM(D12:D14)&gt;0,159487.1,0)</f>
        <v>0</v>
      </c>
      <c r="F26" s="60">
        <f t="shared" si="0"/>
        <v>0</v>
      </c>
      <c r="G26" s="12"/>
      <c r="H26" s="15">
        <v>0</v>
      </c>
      <c r="I26" s="60">
        <v>0</v>
      </c>
      <c r="J26" s="1"/>
      <c r="K26" s="16">
        <f>IFERROR(VLOOKUP($C$2,Lookups!$A:$CR,75,0),0)</f>
        <v>0</v>
      </c>
      <c r="L26" s="12">
        <f>IFERROR(VLOOKUP($C$2,Lookups!$A:$CR,83,0),0)</f>
        <v>0</v>
      </c>
      <c r="M26" s="12">
        <f t="shared" si="1"/>
        <v>0</v>
      </c>
      <c r="N26" s="60">
        <f t="shared" si="2"/>
        <v>0</v>
      </c>
      <c r="O26" s="1"/>
      <c r="P26" s="1"/>
      <c r="Q26" s="1"/>
      <c r="R26" s="1"/>
      <c r="S26" s="1"/>
      <c r="T26" s="1"/>
      <c r="U26" s="1"/>
      <c r="V26" s="1"/>
      <c r="W26" s="1"/>
      <c r="X26" s="1"/>
      <c r="Y26" s="1"/>
      <c r="Z26" s="1"/>
    </row>
    <row r="27" spans="1:26">
      <c r="A27" s="1"/>
      <c r="B27" s="10" t="s">
        <v>30</v>
      </c>
      <c r="C27" s="1"/>
      <c r="D27" s="1"/>
      <c r="E27" s="1"/>
      <c r="F27" s="60">
        <f>IFERROR(VLOOKUP($C$2,Lookups!$A:$CR,38,0),0)</f>
        <v>0</v>
      </c>
      <c r="G27" s="12"/>
      <c r="H27" s="15">
        <v>0</v>
      </c>
      <c r="I27" s="60">
        <v>0</v>
      </c>
      <c r="J27" s="1"/>
      <c r="K27" s="16">
        <f>IFERROR(VLOOKUP($C$2,Lookups!$A:$CR,76,0),0)</f>
        <v>0</v>
      </c>
      <c r="L27" s="1"/>
      <c r="M27" s="12">
        <f t="shared" si="1"/>
        <v>0</v>
      </c>
      <c r="N27" s="60">
        <f t="shared" si="2"/>
        <v>0</v>
      </c>
      <c r="O27" s="1"/>
      <c r="P27" s="1"/>
      <c r="Q27" s="1"/>
      <c r="R27" s="1"/>
      <c r="S27" s="1"/>
      <c r="T27" s="1"/>
      <c r="U27" s="1"/>
      <c r="V27" s="1"/>
      <c r="W27" s="1"/>
      <c r="X27" s="1"/>
      <c r="Y27" s="1"/>
      <c r="Z27" s="1"/>
    </row>
    <row r="28" spans="1:26">
      <c r="A28" s="1"/>
      <c r="B28" s="10"/>
      <c r="C28" s="1"/>
      <c r="D28" s="1"/>
      <c r="E28" s="1"/>
      <c r="F28" s="58"/>
      <c r="G28" s="12"/>
      <c r="H28" s="10"/>
      <c r="I28" s="58"/>
      <c r="J28" s="1"/>
      <c r="K28" s="10"/>
      <c r="L28" s="1"/>
      <c r="M28" s="12"/>
      <c r="N28" s="60"/>
      <c r="O28" s="1"/>
      <c r="P28" s="1"/>
      <c r="Q28" s="1"/>
      <c r="R28" s="1"/>
      <c r="S28" s="1"/>
      <c r="T28" s="1"/>
      <c r="U28" s="1"/>
      <c r="V28" s="1"/>
      <c r="W28" s="1"/>
      <c r="X28" s="1"/>
      <c r="Y28" s="1"/>
      <c r="Z28" s="1"/>
    </row>
    <row r="29" spans="1:26">
      <c r="A29" s="1"/>
      <c r="B29" s="11" t="s">
        <v>31</v>
      </c>
      <c r="C29" s="1"/>
      <c r="D29" s="1"/>
      <c r="E29" s="1"/>
      <c r="F29" s="61">
        <f>IFERROR(VLOOKUP($C$2,Lookups!$A:$CR,52,0),0)-IFERROR(VLOOKUP($C$2,Lookups!$A:$CR,51,0),0)</f>
        <v>0</v>
      </c>
      <c r="G29" s="12"/>
      <c r="H29" s="17"/>
      <c r="I29" s="34">
        <f>SUM(I12:I27)</f>
        <v>0</v>
      </c>
      <c r="J29" s="1"/>
      <c r="K29" s="16">
        <f t="shared" ref="K29:M29" si="4">SUM(K11:K27)</f>
        <v>0</v>
      </c>
      <c r="L29" s="14">
        <f t="shared" si="4"/>
        <v>0</v>
      </c>
      <c r="M29" s="14">
        <f t="shared" si="4"/>
        <v>0</v>
      </c>
      <c r="N29" s="60">
        <f>IFERROR(F29-M29,"")</f>
        <v>0</v>
      </c>
      <c r="O29" s="1"/>
      <c r="P29" s="1"/>
      <c r="Q29" s="1"/>
      <c r="R29" s="1"/>
      <c r="S29" s="1"/>
      <c r="T29" s="1"/>
      <c r="U29" s="1"/>
      <c r="V29" s="1"/>
      <c r="W29" s="1"/>
      <c r="X29" s="1"/>
      <c r="Y29" s="1"/>
      <c r="Z29" s="1"/>
    </row>
    <row r="30" spans="1:26">
      <c r="A30" s="1"/>
      <c r="B30" s="18"/>
      <c r="C30" s="1"/>
      <c r="D30" s="1"/>
      <c r="E30" s="1"/>
      <c r="F30" s="58"/>
      <c r="G30" s="12"/>
      <c r="H30" s="1"/>
      <c r="I30" s="1"/>
      <c r="J30" s="1"/>
      <c r="K30" s="10"/>
      <c r="L30" s="1"/>
      <c r="M30" s="12"/>
      <c r="N30" s="60"/>
      <c r="O30" s="1"/>
      <c r="P30" s="1"/>
      <c r="Q30" s="1"/>
      <c r="R30" s="1"/>
      <c r="S30" s="1"/>
      <c r="T30" s="1"/>
      <c r="U30" s="1"/>
      <c r="V30" s="1"/>
      <c r="W30" s="1"/>
      <c r="X30" s="1"/>
      <c r="Y30" s="1"/>
      <c r="Z30" s="1"/>
    </row>
    <row r="31" spans="1:26">
      <c r="A31" s="1"/>
      <c r="B31" s="10" t="s">
        <v>32</v>
      </c>
      <c r="C31" s="1"/>
      <c r="D31" s="1"/>
      <c r="E31" s="1"/>
      <c r="F31" s="60">
        <f>IFERROR(VLOOKUP($C$2,Lookups!$A:$CR,51,0),0)</f>
        <v>0</v>
      </c>
      <c r="G31" s="12"/>
      <c r="H31" s="1"/>
      <c r="I31" s="1"/>
      <c r="J31" s="12"/>
      <c r="K31" s="16">
        <f>IFERROR(VLOOKUP($C$2,Lookups!$A:$CR,77,0),0)</f>
        <v>0</v>
      </c>
      <c r="L31" s="1"/>
      <c r="M31" s="12">
        <f>K31</f>
        <v>0</v>
      </c>
      <c r="N31" s="60">
        <f>IFERROR(F31-M31,"")</f>
        <v>0</v>
      </c>
      <c r="O31" s="1"/>
      <c r="P31" s="1"/>
      <c r="Q31" s="1"/>
      <c r="R31" s="1"/>
      <c r="S31" s="1"/>
      <c r="T31" s="1"/>
      <c r="U31" s="1"/>
      <c r="V31" s="1"/>
      <c r="W31" s="1"/>
      <c r="X31" s="1"/>
      <c r="Y31" s="1"/>
      <c r="Z31" s="1"/>
    </row>
    <row r="32" spans="1:26">
      <c r="A32" s="1"/>
      <c r="B32" s="11"/>
      <c r="C32" s="1"/>
      <c r="D32" s="1"/>
      <c r="E32" s="1"/>
      <c r="F32" s="58"/>
      <c r="G32" s="12"/>
      <c r="H32" s="1"/>
      <c r="I32" s="1"/>
      <c r="J32" s="1"/>
      <c r="K32" s="10"/>
      <c r="L32" s="1"/>
      <c r="M32" s="12"/>
      <c r="N32" s="60"/>
      <c r="O32" s="1"/>
      <c r="P32" s="1"/>
      <c r="Q32" s="1"/>
      <c r="R32" s="1"/>
      <c r="S32" s="1"/>
      <c r="T32" s="1"/>
      <c r="U32" s="1"/>
      <c r="V32" s="1"/>
      <c r="W32" s="1"/>
      <c r="X32" s="1"/>
      <c r="Y32" s="1"/>
      <c r="Z32" s="1"/>
    </row>
    <row r="33" spans="1:26">
      <c r="A33" s="1"/>
      <c r="B33" s="11" t="s">
        <v>33</v>
      </c>
      <c r="C33" s="1"/>
      <c r="D33" s="1"/>
      <c r="E33" s="1"/>
      <c r="F33" s="61">
        <f>F29+F31</f>
        <v>0</v>
      </c>
      <c r="G33" s="12"/>
      <c r="H33" s="1"/>
      <c r="I33" s="1"/>
      <c r="J33" s="12"/>
      <c r="K33" s="16">
        <f>K29+K31</f>
        <v>0</v>
      </c>
      <c r="L33" s="14">
        <f>L29</f>
        <v>0</v>
      </c>
      <c r="M33" s="12">
        <f>K33+L33</f>
        <v>0</v>
      </c>
      <c r="N33" s="60">
        <f>IFERROR(F33-M33,"")</f>
        <v>0</v>
      </c>
      <c r="O33" s="1"/>
      <c r="P33" s="1"/>
      <c r="Q33" s="1"/>
      <c r="R33" s="1"/>
      <c r="S33" s="1"/>
      <c r="T33" s="1"/>
      <c r="U33" s="1"/>
      <c r="V33" s="1"/>
      <c r="W33" s="1"/>
      <c r="X33" s="1"/>
      <c r="Y33" s="1"/>
      <c r="Z33" s="1"/>
    </row>
    <row r="34" spans="1:26">
      <c r="A34" s="1"/>
      <c r="B34" s="11"/>
      <c r="C34" s="1"/>
      <c r="D34" s="1"/>
      <c r="E34" s="1"/>
      <c r="F34" s="58"/>
      <c r="G34" s="12"/>
      <c r="H34" s="1"/>
      <c r="I34" s="1"/>
      <c r="J34" s="1"/>
      <c r="K34" s="10"/>
      <c r="L34" s="1"/>
      <c r="M34" s="1"/>
      <c r="N34" s="58"/>
      <c r="O34" s="1"/>
      <c r="P34" s="1"/>
      <c r="Q34" s="1"/>
      <c r="R34" s="1"/>
      <c r="S34" s="1"/>
      <c r="T34" s="1"/>
      <c r="U34" s="1"/>
      <c r="V34" s="1"/>
      <c r="W34" s="1"/>
      <c r="X34" s="1"/>
      <c r="Y34" s="1"/>
      <c r="Z34" s="1"/>
    </row>
    <row r="35" spans="1:26">
      <c r="A35" s="1"/>
      <c r="B35" s="10" t="s">
        <v>34</v>
      </c>
      <c r="C35" s="1"/>
      <c r="D35" s="1"/>
      <c r="E35" s="1"/>
      <c r="F35" s="60">
        <f>IFERROR(VLOOKUP($C$2,Lookups!$A:$CR,59,0),0)</f>
        <v>0</v>
      </c>
      <c r="G35" s="1"/>
      <c r="H35" s="1"/>
      <c r="I35" s="1"/>
      <c r="J35" s="1"/>
      <c r="K35" s="10" t="s">
        <v>35</v>
      </c>
      <c r="L35" s="1"/>
      <c r="M35" s="14">
        <f>IFERROR(M33/ VLOOKUP($C$2,Lookups!$A:$CR,60,0),0)</f>
        <v>0</v>
      </c>
      <c r="N35" s="58"/>
      <c r="O35" s="1"/>
      <c r="P35" s="1"/>
      <c r="Q35" s="1"/>
      <c r="R35" s="1"/>
      <c r="S35" s="1"/>
      <c r="T35" s="1"/>
      <c r="U35" s="1"/>
      <c r="V35" s="1"/>
      <c r="W35" s="1"/>
      <c r="X35" s="1"/>
      <c r="Y35" s="1"/>
      <c r="Z35" s="1"/>
    </row>
    <row r="36" spans="1:26">
      <c r="A36" s="1"/>
      <c r="B36" s="11"/>
      <c r="C36" s="1"/>
      <c r="D36" s="1"/>
      <c r="E36" s="1"/>
      <c r="F36" s="58"/>
      <c r="G36" s="1"/>
      <c r="H36" s="1"/>
      <c r="I36" s="1"/>
      <c r="J36" s="1"/>
      <c r="K36" s="10" t="s">
        <v>36</v>
      </c>
      <c r="L36" s="1"/>
      <c r="M36" s="14">
        <f>IFERROR(F33/SUM(D12:D14),0)</f>
        <v>0</v>
      </c>
      <c r="N36" s="58"/>
      <c r="O36" s="1"/>
      <c r="P36" s="1"/>
      <c r="Q36" s="1"/>
      <c r="R36" s="1"/>
      <c r="S36" s="1"/>
      <c r="T36" s="1"/>
      <c r="U36" s="1"/>
      <c r="V36" s="1"/>
      <c r="W36" s="1"/>
      <c r="X36" s="1"/>
      <c r="Y36" s="1"/>
      <c r="Z36" s="1"/>
    </row>
    <row r="37" spans="1:26">
      <c r="A37" s="1"/>
      <c r="B37" s="11" t="s">
        <v>37</v>
      </c>
      <c r="C37" s="1"/>
      <c r="D37" s="1"/>
      <c r="E37" s="1"/>
      <c r="F37" s="61">
        <f>F33-F35</f>
        <v>0</v>
      </c>
      <c r="G37" s="12"/>
      <c r="H37" s="1"/>
      <c r="I37" s="1"/>
      <c r="J37" s="1"/>
      <c r="K37" s="10" t="s">
        <v>38</v>
      </c>
      <c r="L37" s="1"/>
      <c r="M37" s="14">
        <f>M36-M35</f>
        <v>0</v>
      </c>
      <c r="N37" s="58"/>
      <c r="O37" s="1"/>
      <c r="P37" s="1"/>
      <c r="Q37" s="1"/>
      <c r="R37" s="1"/>
      <c r="S37" s="1"/>
      <c r="T37" s="1"/>
      <c r="U37" s="1"/>
      <c r="V37" s="1"/>
      <c r="W37" s="1"/>
      <c r="X37" s="1"/>
      <c r="Y37" s="1"/>
      <c r="Z37" s="1"/>
    </row>
    <row r="38" spans="1:26">
      <c r="A38" s="1"/>
      <c r="B38" s="11"/>
      <c r="C38" s="1"/>
      <c r="D38" s="1"/>
      <c r="E38" s="1"/>
      <c r="F38" s="58"/>
      <c r="G38" s="1"/>
      <c r="H38" s="1"/>
      <c r="I38" s="1"/>
      <c r="J38" s="1"/>
      <c r="K38" s="17" t="s">
        <v>39</v>
      </c>
      <c r="L38" s="19"/>
      <c r="M38" s="20" t="str">
        <f>IFERROR(M37/M35,"")</f>
        <v/>
      </c>
      <c r="N38" s="21"/>
      <c r="O38" s="1"/>
      <c r="P38" s="1"/>
      <c r="Q38" s="1"/>
      <c r="R38" s="1"/>
      <c r="S38" s="1"/>
      <c r="T38" s="1"/>
      <c r="U38" s="1"/>
      <c r="V38" s="1"/>
      <c r="W38" s="1"/>
      <c r="X38" s="1"/>
      <c r="Y38" s="1"/>
      <c r="Z38" s="1"/>
    </row>
    <row r="39" spans="1:26">
      <c r="A39" s="1"/>
      <c r="B39" s="11"/>
      <c r="C39" s="1"/>
      <c r="D39" s="1"/>
      <c r="E39" s="1"/>
      <c r="F39" s="58"/>
      <c r="G39" s="1"/>
      <c r="H39" s="1"/>
      <c r="I39" s="1"/>
      <c r="J39" s="1"/>
      <c r="K39" s="1"/>
      <c r="L39" s="1"/>
      <c r="M39" s="1"/>
      <c r="N39" s="1"/>
      <c r="O39" s="1"/>
      <c r="P39" s="1"/>
      <c r="Q39" s="1"/>
      <c r="R39" s="1"/>
      <c r="S39" s="1"/>
      <c r="T39" s="1"/>
      <c r="U39" s="1"/>
      <c r="V39" s="1"/>
      <c r="W39" s="1"/>
      <c r="X39" s="1"/>
      <c r="Y39" s="1"/>
      <c r="Z39" s="1"/>
    </row>
    <row r="40" spans="1:26">
      <c r="A40" s="1"/>
      <c r="B40" s="11" t="s">
        <v>40</v>
      </c>
      <c r="C40" s="1"/>
      <c r="D40" s="1"/>
      <c r="E40" s="1"/>
      <c r="F40" s="58"/>
      <c r="G40" s="1"/>
      <c r="H40" s="1"/>
      <c r="I40" s="1"/>
      <c r="J40" s="1"/>
      <c r="K40" s="1"/>
      <c r="L40" s="1"/>
      <c r="M40" s="1"/>
      <c r="N40" s="1"/>
      <c r="O40" s="1"/>
      <c r="P40" s="1"/>
      <c r="Q40" s="1"/>
      <c r="R40" s="1"/>
      <c r="S40" s="1"/>
      <c r="T40" s="1"/>
      <c r="U40" s="1"/>
      <c r="V40" s="1"/>
      <c r="W40" s="1"/>
      <c r="X40" s="1"/>
      <c r="Y40" s="1"/>
      <c r="Z40" s="1"/>
    </row>
    <row r="41" spans="1:26">
      <c r="A41" s="1"/>
      <c r="B41" s="10"/>
      <c r="C41" s="1"/>
      <c r="D41" s="1"/>
      <c r="E41" s="1"/>
      <c r="F41" s="58"/>
      <c r="G41" s="1"/>
      <c r="H41" s="22"/>
      <c r="I41" s="9"/>
      <c r="J41" s="1"/>
      <c r="K41" s="1"/>
      <c r="L41" s="1"/>
      <c r="M41" s="1"/>
      <c r="N41" s="1"/>
      <c r="O41" s="1"/>
      <c r="P41" s="1"/>
      <c r="Q41" s="1"/>
      <c r="R41" s="1"/>
      <c r="S41" s="1"/>
      <c r="T41" s="1"/>
      <c r="U41" s="1"/>
      <c r="V41" s="1"/>
      <c r="W41" s="1"/>
      <c r="X41" s="1"/>
      <c r="Y41" s="1"/>
      <c r="Z41" s="1"/>
    </row>
    <row r="42" spans="1:26">
      <c r="A42" s="1"/>
      <c r="B42" s="10" t="s">
        <v>41</v>
      </c>
      <c r="C42" s="1"/>
      <c r="D42" s="1"/>
      <c r="E42" s="1"/>
      <c r="F42" s="60">
        <f>IFERROR(VLOOKUP($C$2,Lookups!$A:$CR,39,0),0)</f>
        <v>0</v>
      </c>
      <c r="G42" s="1"/>
      <c r="H42" s="23" t="s">
        <v>42</v>
      </c>
      <c r="I42" s="62"/>
      <c r="J42" s="14"/>
      <c r="K42" s="1"/>
      <c r="L42" s="1"/>
      <c r="M42" s="1"/>
      <c r="N42" s="1"/>
      <c r="O42" s="1"/>
      <c r="P42" s="1"/>
      <c r="Q42" s="1"/>
      <c r="R42" s="1"/>
      <c r="S42" s="1"/>
      <c r="T42" s="1"/>
      <c r="U42" s="1"/>
      <c r="V42" s="1"/>
      <c r="W42" s="1"/>
      <c r="X42" s="1"/>
      <c r="Y42" s="1"/>
      <c r="Z42" s="1"/>
    </row>
    <row r="43" spans="1:26">
      <c r="A43" s="1"/>
      <c r="B43" s="10" t="s">
        <v>43</v>
      </c>
      <c r="C43" s="1"/>
      <c r="D43" s="1"/>
      <c r="E43" s="1"/>
      <c r="F43" s="60">
        <f>IFERROR(VLOOKUP($C$2,Lookups!$A:$CR,40,0),0)</f>
        <v>0</v>
      </c>
      <c r="G43" s="1"/>
      <c r="H43" s="23" t="s">
        <v>44</v>
      </c>
      <c r="I43" s="62"/>
      <c r="J43" s="14"/>
      <c r="K43" s="1"/>
      <c r="L43" s="1"/>
      <c r="M43" s="1"/>
      <c r="N43" s="1"/>
      <c r="O43" s="1"/>
      <c r="P43" s="1"/>
      <c r="Q43" s="1"/>
      <c r="R43" s="1"/>
      <c r="S43" s="1"/>
      <c r="T43" s="1"/>
      <c r="U43" s="1"/>
      <c r="V43" s="1"/>
      <c r="W43" s="1"/>
      <c r="X43" s="1"/>
      <c r="Y43" s="1"/>
      <c r="Z43" s="1"/>
    </row>
    <row r="44" spans="1:26">
      <c r="A44" s="1"/>
      <c r="B44" s="10" t="s">
        <v>45</v>
      </c>
      <c r="C44" s="1"/>
      <c r="D44" s="1"/>
      <c r="E44" s="1"/>
      <c r="F44" s="60">
        <f>IFERROR(VLOOKUP($C$2,Lookups!$A:$CR,41,0),0)</f>
        <v>0</v>
      </c>
      <c r="G44" s="1"/>
      <c r="H44" s="23" t="s">
        <v>46</v>
      </c>
      <c r="I44" s="62"/>
      <c r="J44" s="14"/>
      <c r="K44" s="1"/>
      <c r="L44" s="1"/>
      <c r="M44" s="1"/>
      <c r="N44" s="1"/>
      <c r="O44" s="1"/>
      <c r="P44" s="1"/>
      <c r="Q44" s="1"/>
      <c r="R44" s="1"/>
      <c r="S44" s="1"/>
      <c r="T44" s="1"/>
      <c r="U44" s="1"/>
      <c r="V44" s="1"/>
      <c r="W44" s="1"/>
      <c r="X44" s="1"/>
      <c r="Y44" s="1"/>
      <c r="Z44" s="1"/>
    </row>
    <row r="45" spans="1:26">
      <c r="A45" s="1"/>
      <c r="B45" s="10" t="s">
        <v>47</v>
      </c>
      <c r="C45" s="1"/>
      <c r="D45" s="1"/>
      <c r="E45" s="1"/>
      <c r="F45" s="60">
        <f>IFERROR(VLOOKUP($C$2,Lookups!$A:$CR,42,0),0)</f>
        <v>0</v>
      </c>
      <c r="G45" s="1"/>
      <c r="H45" s="23" t="s">
        <v>48</v>
      </c>
      <c r="I45" s="62"/>
      <c r="J45" s="14"/>
      <c r="K45" s="1"/>
      <c r="L45" s="1"/>
      <c r="M45" s="1"/>
      <c r="N45" s="1"/>
      <c r="O45" s="1"/>
      <c r="P45" s="1"/>
      <c r="Q45" s="1"/>
      <c r="R45" s="1"/>
      <c r="S45" s="1"/>
      <c r="T45" s="1"/>
      <c r="U45" s="1"/>
      <c r="V45" s="1"/>
      <c r="W45" s="1"/>
      <c r="X45" s="1"/>
      <c r="Y45" s="1"/>
      <c r="Z45" s="1"/>
    </row>
    <row r="46" spans="1:26">
      <c r="A46" s="1"/>
      <c r="B46" s="10" t="s">
        <v>49</v>
      </c>
      <c r="C46" s="1"/>
      <c r="D46" s="1"/>
      <c r="E46" s="1"/>
      <c r="F46" s="60">
        <f>IFERROR(VLOOKUP($C$2,Lookups!$A:$CR,43,0),0)</f>
        <v>0</v>
      </c>
      <c r="G46" s="1"/>
      <c r="H46" s="23" t="s">
        <v>50</v>
      </c>
      <c r="I46" s="63" t="s">
        <v>51</v>
      </c>
      <c r="J46" s="1"/>
      <c r="K46" s="1"/>
      <c r="L46" s="1"/>
      <c r="M46" s="1"/>
      <c r="N46" s="1"/>
      <c r="O46" s="1"/>
      <c r="P46" s="1"/>
      <c r="Q46" s="1"/>
      <c r="R46" s="1"/>
      <c r="S46" s="1"/>
      <c r="T46" s="1"/>
      <c r="U46" s="1"/>
      <c r="V46" s="1"/>
      <c r="W46" s="1"/>
      <c r="X46" s="1"/>
      <c r="Y46" s="1"/>
      <c r="Z46" s="1"/>
    </row>
    <row r="47" spans="1:26">
      <c r="A47" s="1"/>
      <c r="B47" s="10" t="s">
        <v>52</v>
      </c>
      <c r="C47" s="1"/>
      <c r="D47" s="1"/>
      <c r="E47" s="1"/>
      <c r="F47" s="24">
        <f>IFERROR(VLOOKUP($C$2,Lookups!$A:$CR,44,0),0)</f>
        <v>0</v>
      </c>
      <c r="G47" s="1"/>
      <c r="H47" s="23" t="s">
        <v>53</v>
      </c>
      <c r="I47" s="62"/>
      <c r="J47" s="14"/>
      <c r="K47" s="1"/>
      <c r="L47" s="1"/>
      <c r="M47" s="1"/>
      <c r="N47" s="1"/>
      <c r="O47" s="1"/>
      <c r="P47" s="1"/>
      <c r="Q47" s="1"/>
      <c r="R47" s="1"/>
      <c r="S47" s="1"/>
      <c r="T47" s="1"/>
      <c r="U47" s="1"/>
      <c r="V47" s="1"/>
      <c r="W47" s="1"/>
      <c r="X47" s="1"/>
      <c r="Y47" s="1"/>
      <c r="Z47" s="1"/>
    </row>
    <row r="48" spans="1:26">
      <c r="A48" s="1"/>
      <c r="B48" s="10" t="s">
        <v>54</v>
      </c>
      <c r="C48" s="1"/>
      <c r="D48" s="1"/>
      <c r="E48" s="1"/>
      <c r="F48" s="60">
        <f>IFERROR(VLOOKUP($C$2,Lookups!$A:$CR,45,0),0)</f>
        <v>0</v>
      </c>
      <c r="G48" s="1"/>
      <c r="H48" s="23" t="s">
        <v>55</v>
      </c>
      <c r="I48" s="63" t="s">
        <v>56</v>
      </c>
      <c r="J48" s="14"/>
      <c r="K48" s="1"/>
      <c r="L48" s="1"/>
      <c r="M48" s="1"/>
      <c r="N48" s="1"/>
      <c r="O48" s="1"/>
      <c r="P48" s="1"/>
      <c r="Q48" s="1"/>
      <c r="R48" s="1"/>
      <c r="S48" s="1"/>
      <c r="T48" s="1"/>
      <c r="U48" s="1"/>
      <c r="V48" s="1"/>
      <c r="W48" s="1"/>
      <c r="X48" s="1"/>
      <c r="Y48" s="1"/>
      <c r="Z48" s="1"/>
    </row>
    <row r="49" spans="1:26">
      <c r="A49" s="1"/>
      <c r="B49" s="10" t="s">
        <v>57</v>
      </c>
      <c r="C49" s="1"/>
      <c r="D49" s="1"/>
      <c r="E49" s="1"/>
      <c r="F49" s="60">
        <f>IFERROR(VLOOKUP($C$2,Lookups!$A:$CR,46,0),0)</f>
        <v>0</v>
      </c>
      <c r="G49" s="1"/>
      <c r="H49" s="23" t="s">
        <v>58</v>
      </c>
      <c r="I49" s="63" t="s">
        <v>59</v>
      </c>
      <c r="J49" s="14"/>
      <c r="K49" s="1"/>
      <c r="L49" s="1"/>
      <c r="M49" s="1"/>
      <c r="N49" s="1"/>
      <c r="O49" s="1"/>
      <c r="P49" s="1"/>
      <c r="Q49" s="1"/>
      <c r="R49" s="1"/>
      <c r="S49" s="1"/>
      <c r="T49" s="1"/>
      <c r="U49" s="1"/>
      <c r="V49" s="1"/>
      <c r="W49" s="1"/>
      <c r="X49" s="1"/>
      <c r="Y49" s="1"/>
      <c r="Z49" s="1"/>
    </row>
    <row r="50" spans="1:26">
      <c r="A50" s="1"/>
      <c r="B50" s="10" t="s">
        <v>60</v>
      </c>
      <c r="C50" s="1"/>
      <c r="D50" s="1"/>
      <c r="E50" s="1"/>
      <c r="F50" s="24">
        <f>SUM(D12:D14)</f>
        <v>0</v>
      </c>
      <c r="G50" s="1"/>
      <c r="H50" s="23" t="s">
        <v>61</v>
      </c>
      <c r="I50" s="62"/>
      <c r="J50" s="14"/>
      <c r="K50" s="1"/>
      <c r="L50" s="1"/>
      <c r="M50" s="1"/>
      <c r="N50" s="1"/>
      <c r="O50" s="1"/>
      <c r="P50" s="1"/>
      <c r="Q50" s="1"/>
      <c r="R50" s="1"/>
      <c r="S50" s="1"/>
      <c r="T50" s="1"/>
      <c r="U50" s="1"/>
      <c r="V50" s="1"/>
      <c r="W50" s="1"/>
      <c r="X50" s="1"/>
      <c r="Y50" s="1"/>
      <c r="Z50" s="1"/>
    </row>
    <row r="51" spans="1:26">
      <c r="A51" s="1"/>
      <c r="B51" s="10" t="s">
        <v>62</v>
      </c>
      <c r="C51" s="1"/>
      <c r="D51" s="1"/>
      <c r="E51" s="1"/>
      <c r="F51" s="60">
        <f>IFERROR(VLOOKUP($C$2,Lookups!$A:$CR,47,0),0)</f>
        <v>0</v>
      </c>
      <c r="G51" s="1"/>
      <c r="H51" s="23" t="s">
        <v>63</v>
      </c>
      <c r="I51" s="63" t="s">
        <v>64</v>
      </c>
      <c r="J51" s="14"/>
      <c r="K51" s="1"/>
      <c r="L51" s="1"/>
      <c r="M51" s="1"/>
      <c r="N51" s="1"/>
      <c r="O51" s="1"/>
      <c r="P51" s="1"/>
      <c r="Q51" s="1"/>
      <c r="R51" s="1"/>
      <c r="S51" s="1"/>
      <c r="T51" s="1"/>
      <c r="U51" s="1"/>
      <c r="V51" s="1"/>
      <c r="W51" s="1"/>
      <c r="X51" s="1"/>
      <c r="Y51" s="1"/>
      <c r="Z51" s="1"/>
    </row>
    <row r="52" spans="1:26">
      <c r="A52" s="1"/>
      <c r="B52" s="10" t="s">
        <v>65</v>
      </c>
      <c r="C52" s="1"/>
      <c r="D52" s="1"/>
      <c r="E52" s="1"/>
      <c r="F52" s="60">
        <f>IFERROR(VLOOKUP($C$2,Lookups!$A:$CR,48,0),0)</f>
        <v>0</v>
      </c>
      <c r="G52" s="1"/>
      <c r="H52" s="23" t="s">
        <v>66</v>
      </c>
      <c r="I52" s="62"/>
      <c r="J52" s="14"/>
      <c r="K52" s="1"/>
      <c r="L52" s="1"/>
      <c r="M52" s="1"/>
      <c r="N52" s="1"/>
      <c r="O52" s="1"/>
      <c r="P52" s="1"/>
      <c r="Q52" s="1"/>
      <c r="R52" s="1"/>
      <c r="S52" s="1"/>
      <c r="T52" s="1"/>
      <c r="U52" s="1"/>
      <c r="V52" s="1"/>
      <c r="W52" s="1"/>
      <c r="X52" s="1"/>
      <c r="Y52" s="1"/>
      <c r="Z52" s="1"/>
    </row>
    <row r="53" spans="1:26">
      <c r="A53" s="1"/>
      <c r="B53" s="10" t="s">
        <v>67</v>
      </c>
      <c r="C53" s="1"/>
      <c r="D53" s="1"/>
      <c r="E53" s="1"/>
      <c r="F53" s="60">
        <f>IFERROR(VLOOKUP($C$2,Lookups!$A:$CR,49,0),0)</f>
        <v>0</v>
      </c>
      <c r="G53" s="1"/>
      <c r="H53" s="23" t="s">
        <v>68</v>
      </c>
      <c r="I53" s="62"/>
      <c r="J53" s="14"/>
      <c r="K53" s="1"/>
      <c r="L53" s="1"/>
      <c r="M53" s="1"/>
      <c r="N53" s="1"/>
      <c r="O53" s="1"/>
      <c r="P53" s="1"/>
      <c r="Q53" s="1"/>
      <c r="R53" s="1"/>
      <c r="S53" s="1"/>
      <c r="T53" s="1"/>
      <c r="U53" s="1"/>
      <c r="V53" s="1"/>
      <c r="W53" s="1"/>
      <c r="X53" s="1"/>
      <c r="Y53" s="1"/>
      <c r="Z53" s="1"/>
    </row>
    <row r="54" spans="1:26">
      <c r="A54" s="1"/>
      <c r="B54" s="10" t="s">
        <v>69</v>
      </c>
      <c r="C54" s="1"/>
      <c r="D54" s="1"/>
      <c r="E54" s="1"/>
      <c r="F54" s="60">
        <f>IFERROR(VLOOKUP($C$2,Lookups!$A:$CR,50,0),0)</f>
        <v>0</v>
      </c>
      <c r="G54" s="1"/>
      <c r="H54" s="25" t="s">
        <v>70</v>
      </c>
      <c r="I54" s="26" t="s">
        <v>71</v>
      </c>
      <c r="J54" s="14"/>
      <c r="K54" s="1"/>
      <c r="L54" s="1"/>
      <c r="M54" s="1"/>
      <c r="N54" s="1"/>
      <c r="O54" s="1"/>
      <c r="P54" s="1"/>
      <c r="Q54" s="1"/>
      <c r="R54" s="1"/>
      <c r="S54" s="1"/>
      <c r="T54" s="1"/>
      <c r="U54" s="1"/>
      <c r="V54" s="1"/>
      <c r="W54" s="1"/>
      <c r="X54" s="1"/>
      <c r="Y54" s="1"/>
      <c r="Z54" s="1"/>
    </row>
    <row r="55" spans="1:26">
      <c r="A55" s="1"/>
      <c r="B55" s="11" t="s">
        <v>72</v>
      </c>
      <c r="C55" s="3"/>
      <c r="D55" s="3"/>
      <c r="E55" s="3"/>
      <c r="F55" s="61">
        <f>IFERROR(VLOOKUP($C$2,Lookups!$A:$CR,51,0),0)</f>
        <v>0</v>
      </c>
      <c r="G55" s="1"/>
      <c r="H55" s="1" t="s">
        <v>73</v>
      </c>
      <c r="I55" s="1"/>
      <c r="J55" s="1"/>
      <c r="K55" s="1"/>
      <c r="L55" s="1"/>
      <c r="M55" s="1"/>
      <c r="N55" s="1"/>
      <c r="O55" s="1"/>
      <c r="P55" s="1"/>
      <c r="Q55" s="1"/>
      <c r="R55" s="1"/>
      <c r="S55" s="1"/>
      <c r="T55" s="1"/>
      <c r="U55" s="1"/>
      <c r="V55" s="1"/>
      <c r="W55" s="1"/>
      <c r="X55" s="1"/>
      <c r="Y55" s="1"/>
      <c r="Z55" s="1"/>
    </row>
    <row r="56" spans="1:26">
      <c r="A56" s="1"/>
      <c r="B56" s="10"/>
      <c r="C56" s="1"/>
      <c r="D56" s="1"/>
      <c r="E56" s="1"/>
      <c r="F56" s="58"/>
      <c r="G56" s="1"/>
      <c r="H56" s="1"/>
      <c r="I56" s="1"/>
      <c r="J56" s="1"/>
      <c r="K56" s="1"/>
      <c r="L56" s="1"/>
      <c r="M56" s="1"/>
      <c r="N56" s="1"/>
      <c r="O56" s="1"/>
      <c r="P56" s="1"/>
      <c r="Q56" s="1"/>
      <c r="R56" s="1"/>
      <c r="S56" s="1"/>
      <c r="T56" s="1"/>
      <c r="U56" s="1"/>
      <c r="V56" s="1"/>
      <c r="W56" s="1"/>
      <c r="X56" s="1"/>
      <c r="Y56" s="1"/>
      <c r="Z56" s="1"/>
    </row>
    <row r="57" spans="1:26">
      <c r="A57" s="1"/>
      <c r="B57" s="11" t="s">
        <v>74</v>
      </c>
      <c r="C57" s="1"/>
      <c r="D57" s="1"/>
      <c r="E57" s="1"/>
      <c r="F57" s="58"/>
      <c r="G57" s="1"/>
      <c r="H57" s="1"/>
      <c r="I57" s="1"/>
      <c r="J57" s="1"/>
      <c r="K57" s="1"/>
      <c r="L57" s="1"/>
      <c r="M57" s="1"/>
      <c r="N57" s="1"/>
      <c r="O57" s="1"/>
      <c r="P57" s="1"/>
      <c r="Q57" s="1"/>
      <c r="R57" s="1"/>
      <c r="S57" s="1"/>
      <c r="T57" s="1"/>
      <c r="U57" s="1"/>
      <c r="V57" s="1"/>
      <c r="W57" s="1"/>
      <c r="X57" s="1"/>
      <c r="Y57" s="1"/>
      <c r="Z57" s="1"/>
    </row>
    <row r="58" spans="1:26">
      <c r="A58" s="1"/>
      <c r="B58" s="10"/>
      <c r="C58" s="1"/>
      <c r="D58" s="3" t="s">
        <v>75</v>
      </c>
      <c r="E58" s="3" t="s">
        <v>11</v>
      </c>
      <c r="F58" s="59" t="s">
        <v>74</v>
      </c>
      <c r="G58" s="1"/>
      <c r="H58" s="1"/>
      <c r="I58" s="1"/>
      <c r="J58" s="1"/>
      <c r="K58" s="1"/>
      <c r="L58" s="1"/>
      <c r="M58" s="1"/>
      <c r="N58" s="1"/>
      <c r="O58" s="1"/>
      <c r="P58" s="1"/>
      <c r="Q58" s="1"/>
      <c r="R58" s="1"/>
      <c r="S58" s="1"/>
      <c r="T58" s="1"/>
      <c r="U58" s="1"/>
      <c r="V58" s="1"/>
      <c r="W58" s="1"/>
      <c r="X58" s="1"/>
      <c r="Y58" s="1"/>
      <c r="Z58" s="1"/>
    </row>
    <row r="59" spans="1:26">
      <c r="A59" s="1"/>
      <c r="B59" s="27" t="s">
        <v>76</v>
      </c>
      <c r="C59" s="1"/>
      <c r="D59" s="28">
        <f>D12+D13+D14</f>
        <v>0</v>
      </c>
      <c r="E59" s="14">
        <v>12.02</v>
      </c>
      <c r="F59" s="60">
        <f>IFERROR(VLOOKUP($C$2,Lookups!$A:$CR,53,0),0)</f>
        <v>0</v>
      </c>
      <c r="G59" s="1"/>
      <c r="H59" s="1"/>
      <c r="I59" s="1"/>
      <c r="J59" s="1"/>
      <c r="K59" s="1"/>
      <c r="L59" s="1"/>
      <c r="M59" s="1"/>
      <c r="N59" s="1"/>
      <c r="O59" s="1"/>
      <c r="P59" s="1"/>
      <c r="Q59" s="1"/>
      <c r="R59" s="1"/>
      <c r="S59" s="1"/>
      <c r="T59" s="1"/>
      <c r="U59" s="1"/>
      <c r="V59" s="1"/>
      <c r="W59" s="1"/>
      <c r="X59" s="1"/>
      <c r="Y59" s="1"/>
      <c r="Z59" s="1"/>
    </row>
    <row r="60" spans="1:26">
      <c r="A60" s="1"/>
      <c r="B60" s="27" t="s">
        <v>77</v>
      </c>
      <c r="C60" s="1"/>
      <c r="D60" s="28">
        <f>D23</f>
        <v>0</v>
      </c>
      <c r="E60" s="14">
        <v>86</v>
      </c>
      <c r="F60" s="60">
        <f>IFERROR(VLOOKUP($C$2,Lookups!$A:$CR,54,0),0)</f>
        <v>0</v>
      </c>
      <c r="G60" s="1"/>
      <c r="H60" s="1"/>
      <c r="I60" s="1"/>
      <c r="J60" s="1"/>
      <c r="K60" s="1"/>
      <c r="L60" s="1"/>
      <c r="M60" s="1"/>
      <c r="N60" s="1"/>
      <c r="O60" s="1"/>
      <c r="P60" s="1"/>
      <c r="Q60" s="1"/>
      <c r="R60" s="1"/>
      <c r="S60" s="1"/>
      <c r="T60" s="1"/>
      <c r="U60" s="1"/>
      <c r="V60" s="1"/>
      <c r="W60" s="1"/>
      <c r="X60" s="1"/>
      <c r="Y60" s="1"/>
      <c r="Z60" s="1"/>
    </row>
    <row r="61" spans="1:26">
      <c r="A61" s="1"/>
      <c r="B61" s="27" t="s">
        <v>78</v>
      </c>
      <c r="C61" s="1"/>
      <c r="D61" s="28">
        <f>D12+D13+D14</f>
        <v>0</v>
      </c>
      <c r="E61" s="14">
        <v>3.38</v>
      </c>
      <c r="F61" s="60">
        <f>IFERROR(VLOOKUP($C$2,Lookups!$A:$CR,55,0),0)</f>
        <v>0</v>
      </c>
      <c r="G61" s="1"/>
      <c r="H61" s="1"/>
      <c r="I61" s="1"/>
      <c r="J61" s="1"/>
      <c r="K61" s="1"/>
      <c r="L61" s="1"/>
      <c r="M61" s="1"/>
      <c r="N61" s="1"/>
      <c r="O61" s="1"/>
      <c r="P61" s="1"/>
      <c r="Q61" s="1"/>
      <c r="R61" s="1"/>
      <c r="S61" s="1"/>
      <c r="T61" s="1"/>
      <c r="U61" s="1"/>
      <c r="V61" s="1"/>
      <c r="W61" s="1"/>
      <c r="X61" s="1"/>
      <c r="Y61" s="1"/>
      <c r="Z61" s="1"/>
    </row>
    <row r="62" spans="1:26">
      <c r="A62" s="1"/>
      <c r="B62" s="27" t="s">
        <v>79</v>
      </c>
      <c r="C62" s="1"/>
      <c r="D62" s="28">
        <f>D12+D13+D14</f>
        <v>0</v>
      </c>
      <c r="E62" s="14">
        <v>3.02</v>
      </c>
      <c r="F62" s="60">
        <f>IFERROR(VLOOKUP($C$2,Lookups!$A:$CR,56,0),0)</f>
        <v>0</v>
      </c>
      <c r="G62" s="1"/>
      <c r="H62" s="1"/>
      <c r="I62" s="1"/>
      <c r="J62" s="1"/>
      <c r="K62" s="1"/>
      <c r="L62" s="1"/>
      <c r="M62" s="1"/>
      <c r="N62" s="1"/>
      <c r="O62" s="1"/>
      <c r="P62" s="1"/>
      <c r="Q62" s="1"/>
      <c r="R62" s="1"/>
      <c r="S62" s="1"/>
      <c r="T62" s="1"/>
      <c r="U62" s="1"/>
      <c r="V62" s="1"/>
      <c r="W62" s="1"/>
      <c r="X62" s="1"/>
      <c r="Y62" s="1"/>
      <c r="Z62" s="1"/>
    </row>
    <row r="63" spans="1:26">
      <c r="A63" s="1"/>
      <c r="B63" s="27" t="s">
        <v>80</v>
      </c>
      <c r="C63" s="1"/>
      <c r="D63" s="28">
        <f>D12+D13+D14</f>
        <v>0</v>
      </c>
      <c r="E63" s="14">
        <v>8.8000000000000007</v>
      </c>
      <c r="F63" s="60">
        <f>IFERROR(VLOOKUP($C$2,Lookups!$A:$CR,57,0),0)</f>
        <v>0</v>
      </c>
      <c r="G63" s="1"/>
      <c r="H63" s="1"/>
      <c r="I63" s="1"/>
      <c r="J63" s="1"/>
      <c r="K63" s="1"/>
      <c r="L63" s="1"/>
      <c r="M63" s="1"/>
      <c r="N63" s="1"/>
      <c r="O63" s="1"/>
      <c r="P63" s="1"/>
      <c r="Q63" s="1"/>
      <c r="R63" s="1"/>
      <c r="S63" s="1"/>
      <c r="T63" s="1"/>
      <c r="U63" s="1"/>
      <c r="V63" s="1"/>
      <c r="W63" s="1"/>
      <c r="X63" s="1"/>
      <c r="Y63" s="1"/>
      <c r="Z63" s="1"/>
    </row>
    <row r="64" spans="1:26">
      <c r="A64" s="1"/>
      <c r="B64" s="27" t="s">
        <v>81</v>
      </c>
      <c r="C64" s="1"/>
      <c r="D64" s="28">
        <f>D12+D13+D14</f>
        <v>0</v>
      </c>
      <c r="E64" s="14">
        <v>26.1</v>
      </c>
      <c r="F64" s="60">
        <f>IFERROR(VLOOKUP($C$2,Lookups!$A:$CR,58,0),0)</f>
        <v>0</v>
      </c>
      <c r="G64" s="1"/>
      <c r="H64" s="1"/>
      <c r="I64" s="1"/>
      <c r="J64" s="1"/>
      <c r="K64" s="1"/>
      <c r="L64" s="1"/>
      <c r="M64" s="1"/>
      <c r="N64" s="1"/>
      <c r="O64" s="1"/>
      <c r="P64" s="1"/>
      <c r="Q64" s="1"/>
      <c r="R64" s="1"/>
      <c r="S64" s="1"/>
      <c r="T64" s="1"/>
      <c r="U64" s="1"/>
      <c r="V64" s="1"/>
      <c r="W64" s="1"/>
      <c r="X64" s="1"/>
      <c r="Y64" s="1"/>
      <c r="Z64" s="1"/>
    </row>
    <row r="65" spans="1:26">
      <c r="A65" s="1"/>
      <c r="B65" s="11" t="s">
        <v>82</v>
      </c>
      <c r="C65" s="1"/>
      <c r="D65" s="1"/>
      <c r="E65" s="1"/>
      <c r="F65" s="61">
        <f>IFERROR(VLOOKUP($C$2,Lookups!$A:$CR,59,0),0)</f>
        <v>0</v>
      </c>
      <c r="G65" s="1"/>
      <c r="H65" s="1"/>
      <c r="I65" s="1"/>
      <c r="J65" s="1"/>
      <c r="K65" s="1"/>
      <c r="L65" s="1"/>
      <c r="M65" s="1"/>
      <c r="N65" s="1"/>
      <c r="O65" s="1"/>
      <c r="P65" s="1"/>
      <c r="Q65" s="1"/>
      <c r="R65" s="1"/>
      <c r="S65" s="1"/>
      <c r="T65" s="1"/>
      <c r="U65" s="1"/>
      <c r="V65" s="1"/>
      <c r="W65" s="1"/>
      <c r="X65" s="1"/>
      <c r="Y65" s="1"/>
      <c r="Z65" s="1"/>
    </row>
    <row r="66" spans="1:26">
      <c r="A66" s="1"/>
      <c r="B66" s="17"/>
      <c r="C66" s="19"/>
      <c r="D66" s="19"/>
      <c r="E66" s="19"/>
      <c r="F66" s="2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7" t="s">
        <v>83</v>
      </c>
      <c r="C68" s="8"/>
      <c r="D68" s="8"/>
      <c r="E68" s="8"/>
      <c r="F68" s="9"/>
      <c r="G68" s="1"/>
      <c r="H68" s="1"/>
      <c r="I68" s="1"/>
      <c r="J68" s="1"/>
      <c r="K68" s="1"/>
      <c r="L68" s="1"/>
      <c r="M68" s="1"/>
      <c r="N68" s="1"/>
      <c r="O68" s="1"/>
      <c r="P68" s="1"/>
      <c r="Q68" s="1"/>
      <c r="R68" s="1"/>
      <c r="S68" s="1"/>
      <c r="T68" s="1"/>
      <c r="U68" s="1"/>
      <c r="V68" s="1"/>
      <c r="W68" s="1"/>
      <c r="X68" s="1"/>
      <c r="Y68" s="1"/>
      <c r="Z68" s="1"/>
    </row>
    <row r="69" spans="1:26">
      <c r="A69" s="1"/>
      <c r="B69" s="10"/>
      <c r="C69" s="1"/>
      <c r="D69" s="1"/>
      <c r="E69" s="1"/>
      <c r="F69" s="58"/>
      <c r="G69" s="1"/>
      <c r="H69" s="1"/>
      <c r="I69" s="1"/>
      <c r="J69" s="1"/>
      <c r="K69" s="1"/>
      <c r="L69" s="1"/>
      <c r="M69" s="1"/>
      <c r="N69" s="1"/>
      <c r="O69" s="1"/>
      <c r="P69" s="1"/>
      <c r="Q69" s="1"/>
      <c r="R69" s="1"/>
      <c r="S69" s="1"/>
      <c r="T69" s="1"/>
      <c r="U69" s="1"/>
      <c r="V69" s="1"/>
      <c r="W69" s="1"/>
      <c r="X69" s="1"/>
      <c r="Y69" s="1"/>
      <c r="Z69" s="1"/>
    </row>
    <row r="70" spans="1:26">
      <c r="A70" s="1"/>
      <c r="B70" s="17" t="s">
        <v>84</v>
      </c>
      <c r="C70" s="19"/>
      <c r="D70" s="19"/>
      <c r="E70" s="19"/>
      <c r="F70" s="29"/>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7" t="s">
        <v>85</v>
      </c>
      <c r="C73" s="8"/>
      <c r="D73" s="8"/>
      <c r="E73" s="8"/>
      <c r="F73" s="9"/>
      <c r="G73" s="1"/>
      <c r="H73" s="1"/>
      <c r="I73" s="1"/>
      <c r="J73" s="1"/>
      <c r="K73" s="1"/>
      <c r="L73" s="1"/>
      <c r="M73" s="1"/>
      <c r="N73" s="1"/>
      <c r="O73" s="1"/>
      <c r="P73" s="1"/>
      <c r="Q73" s="1"/>
      <c r="R73" s="1"/>
      <c r="S73" s="1"/>
      <c r="T73" s="1"/>
      <c r="U73" s="1"/>
      <c r="V73" s="1"/>
      <c r="W73" s="1"/>
      <c r="X73" s="1"/>
      <c r="Y73" s="1"/>
      <c r="Z73" s="1"/>
    </row>
    <row r="74" spans="1:26">
      <c r="A74" s="1"/>
      <c r="B74" s="10"/>
      <c r="C74" s="1"/>
      <c r="D74" s="1"/>
      <c r="E74" s="1"/>
      <c r="F74" s="58"/>
      <c r="G74" s="1"/>
      <c r="H74" s="1"/>
      <c r="I74" s="1"/>
      <c r="J74" s="1"/>
      <c r="K74" s="1"/>
      <c r="L74" s="1"/>
      <c r="M74" s="1"/>
      <c r="N74" s="1"/>
      <c r="O74" s="1"/>
      <c r="P74" s="1"/>
      <c r="Q74" s="1"/>
      <c r="R74" s="1"/>
      <c r="S74" s="1"/>
      <c r="T74" s="1"/>
      <c r="U74" s="1"/>
      <c r="V74" s="1"/>
      <c r="W74" s="1"/>
      <c r="X74" s="1"/>
      <c r="Y74" s="1"/>
      <c r="Z74" s="1"/>
    </row>
    <row r="75" spans="1:26">
      <c r="A75" s="1"/>
      <c r="B75" s="10"/>
      <c r="C75" s="1"/>
      <c r="D75" s="1"/>
      <c r="E75" s="1"/>
      <c r="F75" s="58"/>
      <c r="G75" s="1"/>
      <c r="H75" s="1"/>
      <c r="I75" s="1"/>
      <c r="J75" s="1"/>
      <c r="K75" s="1"/>
      <c r="L75" s="1"/>
      <c r="M75" s="1"/>
      <c r="N75" s="1"/>
      <c r="O75" s="1"/>
      <c r="P75" s="1"/>
      <c r="Q75" s="1"/>
      <c r="R75" s="1"/>
      <c r="S75" s="1"/>
      <c r="T75" s="1"/>
      <c r="U75" s="1"/>
      <c r="V75" s="1"/>
      <c r="W75" s="1"/>
      <c r="X75" s="1"/>
      <c r="Y75" s="1"/>
      <c r="Z75" s="1"/>
    </row>
    <row r="76" spans="1:26">
      <c r="A76" s="1"/>
      <c r="B76" s="10" t="s">
        <v>86</v>
      </c>
      <c r="C76" s="1"/>
      <c r="D76" s="1"/>
      <c r="E76" s="1"/>
      <c r="F76" s="58"/>
      <c r="G76" s="1"/>
      <c r="H76" s="1"/>
      <c r="I76" s="1"/>
      <c r="J76" s="1"/>
      <c r="K76" s="1"/>
      <c r="L76" s="1"/>
      <c r="M76" s="1"/>
      <c r="N76" s="1"/>
      <c r="O76" s="1"/>
      <c r="P76" s="1"/>
      <c r="Q76" s="1"/>
      <c r="R76" s="1"/>
      <c r="S76" s="1"/>
      <c r="T76" s="1"/>
      <c r="U76" s="1"/>
      <c r="V76" s="1"/>
      <c r="W76" s="1"/>
      <c r="X76" s="1"/>
      <c r="Y76" s="1"/>
      <c r="Z76" s="1"/>
    </row>
    <row r="77" spans="1:26">
      <c r="A77" s="1"/>
      <c r="B77" s="10" t="s">
        <v>87</v>
      </c>
      <c r="C77" s="1"/>
      <c r="D77" s="1"/>
      <c r="E77" s="1"/>
      <c r="F77" s="58"/>
      <c r="G77" s="1"/>
      <c r="H77" s="1"/>
      <c r="I77" s="1"/>
      <c r="J77" s="1"/>
      <c r="K77" s="1"/>
      <c r="L77" s="1"/>
      <c r="M77" s="1"/>
      <c r="N77" s="1"/>
      <c r="O77" s="1"/>
      <c r="P77" s="1"/>
      <c r="Q77" s="1"/>
      <c r="R77" s="1"/>
      <c r="S77" s="1"/>
      <c r="T77" s="1"/>
      <c r="U77" s="1"/>
      <c r="V77" s="1"/>
      <c r="W77" s="1"/>
      <c r="X77" s="1"/>
      <c r="Y77" s="1"/>
      <c r="Z77" s="1"/>
    </row>
    <row r="78" spans="1:26">
      <c r="A78" s="1"/>
      <c r="B78" s="30"/>
      <c r="C78" s="1"/>
      <c r="D78" s="1"/>
      <c r="E78" s="1"/>
      <c r="F78" s="58"/>
      <c r="G78" s="1"/>
      <c r="H78" s="1"/>
      <c r="I78" s="1"/>
      <c r="J78" s="1"/>
      <c r="K78" s="1"/>
      <c r="L78" s="1"/>
      <c r="M78" s="1"/>
      <c r="N78" s="1"/>
      <c r="O78" s="1"/>
      <c r="P78" s="1"/>
      <c r="Q78" s="1"/>
      <c r="R78" s="1"/>
      <c r="S78" s="1"/>
      <c r="T78" s="1"/>
      <c r="U78" s="1"/>
      <c r="V78" s="1"/>
      <c r="W78" s="1"/>
      <c r="X78" s="1"/>
      <c r="Y78" s="1"/>
      <c r="Z78" s="1"/>
    </row>
    <row r="79" spans="1:26">
      <c r="A79" s="1"/>
      <c r="B79" s="10" t="s">
        <v>88</v>
      </c>
      <c r="C79" s="31">
        <f>IFERROR(VLOOKUP($C$2,Lookups!$A:$CR,84,0),0)</f>
        <v>0</v>
      </c>
      <c r="D79" s="1"/>
      <c r="E79" s="1"/>
      <c r="F79" s="58"/>
      <c r="G79" s="1"/>
      <c r="H79" s="1"/>
      <c r="I79" s="1"/>
      <c r="J79" s="1"/>
      <c r="K79" s="1"/>
      <c r="L79" s="1"/>
      <c r="M79" s="1"/>
      <c r="N79" s="1"/>
      <c r="O79" s="1"/>
      <c r="P79" s="1"/>
      <c r="Q79" s="1"/>
      <c r="R79" s="1"/>
      <c r="S79" s="1"/>
      <c r="T79" s="1"/>
      <c r="U79" s="1"/>
      <c r="V79" s="1"/>
      <c r="W79" s="1"/>
      <c r="X79" s="1"/>
      <c r="Y79" s="1"/>
      <c r="Z79" s="1"/>
    </row>
    <row r="80" spans="1:26">
      <c r="A80" s="1"/>
      <c r="B80" s="10" t="s">
        <v>89</v>
      </c>
      <c r="C80" s="4">
        <f>C79</f>
        <v>0</v>
      </c>
      <c r="D80" s="1"/>
      <c r="E80" s="1"/>
      <c r="F80" s="58"/>
      <c r="G80" s="1"/>
      <c r="H80" s="1"/>
      <c r="I80" s="1"/>
      <c r="J80" s="1"/>
      <c r="K80" s="1"/>
      <c r="L80" s="1"/>
      <c r="M80" s="1"/>
      <c r="N80" s="1"/>
      <c r="O80" s="1"/>
      <c r="P80" s="1"/>
      <c r="Q80" s="1"/>
      <c r="R80" s="1"/>
      <c r="S80" s="1"/>
      <c r="T80" s="1"/>
      <c r="U80" s="1"/>
      <c r="V80" s="1"/>
      <c r="W80" s="1"/>
      <c r="X80" s="1"/>
      <c r="Y80" s="1"/>
      <c r="Z80" s="1"/>
    </row>
    <row r="81" spans="1:26">
      <c r="A81" s="1"/>
      <c r="B81" s="10" t="s">
        <v>90</v>
      </c>
      <c r="C81" s="32">
        <f>(C79*(5/12))+(C80*(7/12))</f>
        <v>0</v>
      </c>
      <c r="D81" s="1"/>
      <c r="E81" s="1"/>
      <c r="F81" s="58"/>
      <c r="G81" s="1"/>
      <c r="H81" s="1"/>
      <c r="I81" s="1"/>
      <c r="J81" s="1"/>
      <c r="K81" s="1"/>
      <c r="L81" s="1"/>
      <c r="M81" s="1"/>
      <c r="N81" s="1"/>
      <c r="O81" s="1"/>
      <c r="P81" s="1"/>
      <c r="Q81" s="1"/>
      <c r="R81" s="1"/>
      <c r="S81" s="1"/>
      <c r="T81" s="1"/>
      <c r="U81" s="1"/>
      <c r="V81" s="1"/>
      <c r="W81" s="1"/>
      <c r="X81" s="1"/>
      <c r="Y81" s="1"/>
      <c r="Z81" s="1"/>
    </row>
    <row r="82" spans="1:26">
      <c r="A82" s="1"/>
      <c r="B82" s="10" t="s">
        <v>91</v>
      </c>
      <c r="C82" s="1"/>
      <c r="D82" s="1"/>
      <c r="E82" s="1"/>
      <c r="F82" s="60">
        <f>6000*C81</f>
        <v>0</v>
      </c>
      <c r="G82" s="1"/>
      <c r="H82" s="1"/>
      <c r="I82" s="1"/>
      <c r="J82" s="1"/>
      <c r="K82" s="1"/>
      <c r="L82" s="1"/>
      <c r="M82" s="1"/>
      <c r="N82" s="1"/>
      <c r="O82" s="1"/>
      <c r="P82" s="1"/>
      <c r="Q82" s="1"/>
      <c r="R82" s="1"/>
      <c r="S82" s="1"/>
      <c r="T82" s="1"/>
      <c r="U82" s="1"/>
      <c r="V82" s="1"/>
      <c r="W82" s="1"/>
      <c r="X82" s="1"/>
      <c r="Y82" s="1"/>
      <c r="Z82" s="1"/>
    </row>
    <row r="83" spans="1:26">
      <c r="A83" s="1"/>
      <c r="B83" s="30"/>
      <c r="C83" s="1"/>
      <c r="D83" s="1"/>
      <c r="E83" s="1"/>
      <c r="F83" s="58"/>
      <c r="G83" s="1"/>
      <c r="H83" s="1"/>
      <c r="I83" s="1"/>
      <c r="J83" s="1"/>
      <c r="K83" s="1"/>
      <c r="L83" s="1"/>
      <c r="M83" s="1"/>
      <c r="N83" s="1"/>
      <c r="O83" s="1"/>
      <c r="P83" s="1"/>
      <c r="Q83" s="1"/>
      <c r="R83" s="1"/>
      <c r="S83" s="1"/>
      <c r="T83" s="1"/>
      <c r="U83" s="1"/>
      <c r="V83" s="1"/>
      <c r="W83" s="1"/>
      <c r="X83" s="1"/>
      <c r="Y83" s="1"/>
      <c r="Z83" s="1"/>
    </row>
    <row r="84" spans="1:26" ht="15.75">
      <c r="A84" s="1"/>
      <c r="B84" s="10"/>
      <c r="C84" s="1" t="s">
        <v>92</v>
      </c>
      <c r="D84" s="1"/>
      <c r="E84" s="1" t="s">
        <v>11</v>
      </c>
      <c r="F84" s="58"/>
      <c r="G84" s="1"/>
      <c r="H84" s="56"/>
      <c r="I84" s="56"/>
      <c r="J84" s="1"/>
      <c r="K84" s="1"/>
      <c r="L84" s="1"/>
      <c r="M84" s="1"/>
      <c r="N84" s="1"/>
      <c r="O84" s="1"/>
      <c r="P84" s="1"/>
      <c r="Q84" s="1"/>
      <c r="R84" s="1"/>
      <c r="S84" s="1"/>
      <c r="T84" s="1"/>
      <c r="U84" s="1"/>
      <c r="V84" s="1"/>
      <c r="W84" s="1"/>
      <c r="X84" s="1"/>
      <c r="Y84" s="1"/>
      <c r="Z84" s="1"/>
    </row>
    <row r="85" spans="1:26">
      <c r="A85" s="1"/>
      <c r="B85" s="10" t="s">
        <v>93</v>
      </c>
      <c r="C85" s="4"/>
      <c r="D85" s="1"/>
      <c r="E85" s="57">
        <f>IFERROR(VLOOKUP($C$2,Lookups!$A:$CR,88,0),0)</f>
        <v>0</v>
      </c>
      <c r="F85" s="64">
        <f t="shared" ref="F85:F90" si="5">C85*E85</f>
        <v>0</v>
      </c>
      <c r="G85" s="1"/>
      <c r="H85" s="56"/>
      <c r="I85" s="56"/>
      <c r="J85" s="1"/>
      <c r="K85" s="1"/>
      <c r="L85" s="1"/>
      <c r="M85" s="1"/>
      <c r="N85" s="1"/>
      <c r="O85" s="1"/>
      <c r="P85" s="1"/>
      <c r="Q85" s="1"/>
      <c r="R85" s="1"/>
      <c r="S85" s="1"/>
      <c r="T85" s="1"/>
      <c r="U85" s="1"/>
      <c r="V85" s="1"/>
      <c r="W85" s="1"/>
      <c r="X85" s="1"/>
      <c r="Y85" s="1"/>
      <c r="Z85" s="1"/>
    </row>
    <row r="86" spans="1:26">
      <c r="A86" s="1"/>
      <c r="B86" s="10" t="s">
        <v>94</v>
      </c>
      <c r="C86" s="4"/>
      <c r="D86" s="1"/>
      <c r="E86" s="57">
        <v>4736</v>
      </c>
      <c r="F86" s="60">
        <f t="shared" si="5"/>
        <v>0</v>
      </c>
      <c r="G86" s="1"/>
      <c r="H86" s="56"/>
      <c r="I86" s="56"/>
      <c r="J86" s="1"/>
      <c r="K86" s="1"/>
      <c r="L86" s="1"/>
      <c r="M86" s="1"/>
      <c r="N86" s="1"/>
      <c r="O86" s="1"/>
      <c r="P86" s="1"/>
      <c r="Q86" s="1"/>
      <c r="R86" s="1"/>
      <c r="S86" s="1"/>
      <c r="T86" s="1"/>
      <c r="U86" s="1"/>
      <c r="V86" s="1"/>
      <c r="W86" s="1"/>
      <c r="X86" s="1"/>
      <c r="Y86" s="1"/>
      <c r="Z86" s="1"/>
    </row>
    <row r="87" spans="1:26">
      <c r="A87" s="1"/>
      <c r="B87" s="10" t="s">
        <v>95</v>
      </c>
      <c r="C87" s="4"/>
      <c r="D87" s="1"/>
      <c r="E87" s="57">
        <v>6077</v>
      </c>
      <c r="F87" s="60">
        <f t="shared" si="5"/>
        <v>0</v>
      </c>
      <c r="G87" s="1"/>
      <c r="H87" s="56"/>
      <c r="I87" s="56"/>
      <c r="J87" s="1"/>
      <c r="K87" s="1"/>
      <c r="L87" s="1"/>
      <c r="M87" s="1"/>
      <c r="N87" s="1"/>
      <c r="O87" s="1"/>
      <c r="P87" s="1"/>
      <c r="Q87" s="1"/>
      <c r="R87" s="1"/>
      <c r="S87" s="1"/>
      <c r="T87" s="1"/>
      <c r="U87" s="1"/>
      <c r="V87" s="1"/>
      <c r="W87" s="1"/>
      <c r="X87" s="1"/>
      <c r="Y87" s="1"/>
      <c r="Z87" s="1"/>
    </row>
    <row r="88" spans="1:26" ht="15.75">
      <c r="A88" s="1"/>
      <c r="B88" s="10" t="s">
        <v>96</v>
      </c>
      <c r="C88" s="4"/>
      <c r="D88" s="1"/>
      <c r="E88" s="57">
        <v>6500</v>
      </c>
      <c r="F88" s="60">
        <f t="shared" si="5"/>
        <v>0</v>
      </c>
      <c r="G88" s="1"/>
      <c r="H88" s="1"/>
      <c r="I88" s="1"/>
      <c r="J88" s="1"/>
      <c r="K88" s="1"/>
      <c r="L88" s="1"/>
      <c r="M88" s="1"/>
      <c r="N88" s="1"/>
      <c r="O88" s="1"/>
      <c r="P88" s="1"/>
      <c r="Q88" s="1"/>
      <c r="R88" s="1"/>
      <c r="S88" s="1"/>
      <c r="T88" s="1"/>
      <c r="U88" s="1"/>
      <c r="V88" s="1"/>
      <c r="W88" s="1"/>
      <c r="X88" s="1"/>
      <c r="Y88" s="1"/>
      <c r="Z88" s="1"/>
    </row>
    <row r="89" spans="1:26">
      <c r="A89" s="1"/>
      <c r="B89" s="10" t="s">
        <v>97</v>
      </c>
      <c r="C89" s="4"/>
      <c r="D89" s="1"/>
      <c r="E89" s="57">
        <v>11432</v>
      </c>
      <c r="F89" s="60">
        <f t="shared" si="5"/>
        <v>0</v>
      </c>
      <c r="G89" s="1"/>
      <c r="H89" s="1"/>
      <c r="I89" s="1"/>
      <c r="J89" s="1"/>
      <c r="K89" s="1"/>
      <c r="L89" s="1"/>
      <c r="M89" s="1"/>
      <c r="N89" s="1"/>
      <c r="O89" s="1"/>
      <c r="P89" s="1"/>
      <c r="Q89" s="1"/>
      <c r="R89" s="1"/>
      <c r="S89" s="1"/>
      <c r="T89" s="1"/>
      <c r="U89" s="1"/>
      <c r="V89" s="1"/>
      <c r="W89" s="1"/>
      <c r="X89" s="1"/>
      <c r="Y89" s="1"/>
      <c r="Z89" s="1"/>
    </row>
    <row r="90" spans="1:26">
      <c r="A90" s="1"/>
      <c r="B90" s="10" t="s">
        <v>98</v>
      </c>
      <c r="C90" s="4"/>
      <c r="D90" s="1"/>
      <c r="E90" s="57">
        <v>15818</v>
      </c>
      <c r="F90" s="60">
        <f t="shared" si="5"/>
        <v>0</v>
      </c>
      <c r="G90" s="1"/>
      <c r="H90" s="1"/>
      <c r="I90" s="1"/>
      <c r="J90" s="1"/>
      <c r="K90" s="1"/>
      <c r="L90" s="1"/>
      <c r="M90" s="1"/>
      <c r="N90" s="1"/>
      <c r="O90" s="1"/>
      <c r="P90" s="1"/>
      <c r="Q90" s="1"/>
      <c r="R90" s="1"/>
      <c r="S90" s="1"/>
      <c r="T90" s="1"/>
      <c r="U90" s="1"/>
      <c r="V90" s="1"/>
      <c r="W90" s="1"/>
      <c r="X90" s="1"/>
      <c r="Y90" s="1"/>
      <c r="Z90" s="1"/>
    </row>
    <row r="91" spans="1:26">
      <c r="A91" s="1"/>
      <c r="B91" s="10"/>
      <c r="C91" s="1"/>
      <c r="D91" s="1"/>
      <c r="E91" s="1"/>
      <c r="F91" s="58"/>
      <c r="G91" s="1"/>
      <c r="H91" s="1"/>
      <c r="I91" s="1"/>
      <c r="J91" s="1"/>
      <c r="K91" s="1"/>
      <c r="L91" s="1"/>
      <c r="M91" s="1"/>
      <c r="N91" s="1"/>
      <c r="O91" s="1"/>
      <c r="P91" s="1"/>
      <c r="Q91" s="1"/>
      <c r="R91" s="1"/>
      <c r="S91" s="1"/>
      <c r="T91" s="1"/>
      <c r="U91" s="1"/>
      <c r="V91" s="1"/>
      <c r="W91" s="1"/>
      <c r="X91" s="1"/>
      <c r="Y91" s="1"/>
      <c r="Z91" s="1"/>
    </row>
    <row r="92" spans="1:26">
      <c r="A92" s="1"/>
      <c r="B92" s="33" t="s">
        <v>85</v>
      </c>
      <c r="C92" s="19"/>
      <c r="D92" s="19"/>
      <c r="E92" s="19"/>
      <c r="F92" s="34">
        <f>SUM(F82:F90)</f>
        <v>0</v>
      </c>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7" t="s">
        <v>99</v>
      </c>
      <c r="C94" s="8"/>
      <c r="D94" s="8"/>
      <c r="E94" s="8"/>
      <c r="F94" s="9"/>
      <c r="G94" s="1"/>
      <c r="H94" s="1"/>
      <c r="I94" s="1"/>
      <c r="J94" s="1"/>
      <c r="K94" s="1"/>
      <c r="L94" s="1"/>
      <c r="M94" s="1"/>
      <c r="N94" s="1"/>
      <c r="O94" s="1"/>
      <c r="P94" s="1"/>
      <c r="Q94" s="1"/>
      <c r="R94" s="1"/>
      <c r="S94" s="1"/>
      <c r="T94" s="1"/>
      <c r="U94" s="1"/>
      <c r="V94" s="1"/>
      <c r="W94" s="1"/>
      <c r="X94" s="1"/>
      <c r="Y94" s="1"/>
      <c r="Z94" s="1"/>
    </row>
    <row r="95" spans="1:26">
      <c r="A95" s="1"/>
      <c r="B95" s="10"/>
      <c r="C95" s="1"/>
      <c r="D95" s="1"/>
      <c r="E95" s="1"/>
      <c r="F95" s="58"/>
      <c r="G95" s="1"/>
      <c r="H95" s="1"/>
      <c r="I95" s="1"/>
      <c r="J95" s="1"/>
      <c r="K95" s="1"/>
      <c r="L95" s="1"/>
      <c r="M95" s="1"/>
      <c r="N95" s="1"/>
      <c r="O95" s="1"/>
      <c r="P95" s="1"/>
      <c r="Q95" s="1"/>
      <c r="R95" s="1"/>
      <c r="S95" s="1"/>
      <c r="T95" s="1"/>
      <c r="U95" s="1"/>
      <c r="V95" s="1"/>
      <c r="W95" s="1"/>
      <c r="X95" s="1"/>
      <c r="Y95" s="1"/>
      <c r="Z95" s="1"/>
    </row>
    <row r="96" spans="1:26">
      <c r="A96" s="1"/>
      <c r="B96" s="11" t="s">
        <v>100</v>
      </c>
      <c r="C96" s="1"/>
      <c r="D96" s="1"/>
      <c r="E96" s="1"/>
      <c r="F96" s="58"/>
      <c r="G96" s="1"/>
      <c r="H96" s="1"/>
      <c r="I96" s="1"/>
      <c r="J96" s="1"/>
      <c r="K96" s="1"/>
      <c r="L96" s="1"/>
      <c r="M96" s="1"/>
      <c r="N96" s="1"/>
      <c r="O96" s="1"/>
      <c r="P96" s="1"/>
      <c r="Q96" s="1"/>
      <c r="R96" s="1"/>
      <c r="S96" s="1"/>
      <c r="T96" s="1"/>
      <c r="U96" s="1"/>
      <c r="V96" s="1"/>
      <c r="W96" s="1"/>
      <c r="X96" s="1"/>
      <c r="Y96" s="1"/>
      <c r="Z96" s="1"/>
    </row>
    <row r="97" spans="1:26">
      <c r="A97" s="1"/>
      <c r="B97" s="10"/>
      <c r="C97" s="1"/>
      <c r="D97" s="1"/>
      <c r="E97" s="1"/>
      <c r="F97" s="58"/>
      <c r="G97" s="1"/>
      <c r="H97" s="1"/>
      <c r="I97" s="1"/>
      <c r="J97" s="1"/>
      <c r="K97" s="1"/>
      <c r="L97" s="1"/>
      <c r="M97" s="1"/>
      <c r="N97" s="1"/>
      <c r="O97" s="1"/>
      <c r="P97" s="1"/>
      <c r="Q97" s="1"/>
      <c r="R97" s="1"/>
      <c r="S97" s="1"/>
      <c r="T97" s="1"/>
      <c r="U97" s="1"/>
      <c r="V97" s="1"/>
      <c r="W97" s="1"/>
      <c r="X97" s="1"/>
      <c r="Y97" s="1"/>
      <c r="Z97" s="1"/>
    </row>
    <row r="98" spans="1:26">
      <c r="A98" s="1"/>
      <c r="B98" s="10" t="s">
        <v>101</v>
      </c>
      <c r="C98" s="1"/>
      <c r="D98" s="1"/>
      <c r="E98" s="1"/>
      <c r="F98" s="58"/>
      <c r="G98" s="1"/>
      <c r="H98" s="1"/>
      <c r="I98" s="1"/>
      <c r="J98" s="1"/>
      <c r="K98" s="1"/>
      <c r="L98" s="1"/>
      <c r="M98" s="1"/>
      <c r="N98" s="1"/>
      <c r="O98" s="1"/>
      <c r="P98" s="1"/>
      <c r="Q98" s="1"/>
      <c r="R98" s="1"/>
      <c r="S98" s="1"/>
      <c r="T98" s="1"/>
      <c r="U98" s="1"/>
      <c r="V98" s="1"/>
      <c r="W98" s="1"/>
      <c r="X98" s="1"/>
      <c r="Y98" s="1"/>
      <c r="Z98" s="1"/>
    </row>
    <row r="99" spans="1:26">
      <c r="A99" s="1"/>
      <c r="B99" s="10" t="s">
        <v>102</v>
      </c>
      <c r="C99" s="1"/>
      <c r="D99" s="1"/>
      <c r="E99" s="1"/>
      <c r="F99" s="58"/>
      <c r="G99" s="1"/>
      <c r="H99" s="1"/>
      <c r="I99" s="1"/>
      <c r="J99" s="1"/>
      <c r="K99" s="1"/>
      <c r="L99" s="1"/>
      <c r="M99" s="1"/>
      <c r="N99" s="1"/>
      <c r="O99" s="1"/>
      <c r="P99" s="1"/>
      <c r="Q99" s="1"/>
      <c r="R99" s="1"/>
      <c r="S99" s="1"/>
      <c r="T99" s="1"/>
      <c r="U99" s="1"/>
      <c r="V99" s="1"/>
      <c r="W99" s="1"/>
      <c r="X99" s="1"/>
      <c r="Y99" s="1"/>
      <c r="Z99" s="1"/>
    </row>
    <row r="100" spans="1:26">
      <c r="A100" s="1"/>
      <c r="B100" s="17" t="s">
        <v>103</v>
      </c>
      <c r="C100" s="19"/>
      <c r="D100" s="19"/>
      <c r="E100" s="19"/>
      <c r="F100" s="2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7" t="s">
        <v>104</v>
      </c>
      <c r="C102" s="8"/>
      <c r="D102" s="8"/>
      <c r="E102" s="8"/>
      <c r="F102" s="9"/>
      <c r="G102" s="1"/>
      <c r="H102" s="1"/>
      <c r="I102" s="1"/>
      <c r="J102" s="1"/>
      <c r="K102" s="1"/>
      <c r="L102" s="1"/>
      <c r="M102" s="1"/>
      <c r="N102" s="1"/>
      <c r="O102" s="1"/>
      <c r="P102" s="1"/>
      <c r="Q102" s="1"/>
      <c r="R102" s="1"/>
      <c r="S102" s="1"/>
      <c r="T102" s="1"/>
      <c r="U102" s="1"/>
      <c r="V102" s="1"/>
      <c r="W102" s="1"/>
      <c r="X102" s="1"/>
      <c r="Y102" s="1"/>
      <c r="Z102" s="1"/>
    </row>
    <row r="103" spans="1:26">
      <c r="A103" s="1"/>
      <c r="B103" s="10"/>
      <c r="C103" s="1"/>
      <c r="D103" s="1"/>
      <c r="E103" s="1"/>
      <c r="F103" s="58"/>
      <c r="G103" s="1"/>
      <c r="H103" s="1"/>
      <c r="I103" s="1"/>
      <c r="J103" s="1"/>
      <c r="K103" s="1"/>
      <c r="L103" s="1"/>
      <c r="M103" s="1"/>
      <c r="N103" s="1"/>
      <c r="O103" s="1"/>
      <c r="P103" s="1"/>
      <c r="Q103" s="1"/>
      <c r="R103" s="1"/>
      <c r="S103" s="1"/>
      <c r="T103" s="1"/>
      <c r="U103" s="1"/>
      <c r="V103" s="1"/>
      <c r="W103" s="1"/>
      <c r="X103" s="1"/>
      <c r="Y103" s="1"/>
      <c r="Z103" s="1"/>
    </row>
    <row r="104" spans="1:26">
      <c r="A104" s="1"/>
      <c r="B104" s="35" t="s">
        <v>105</v>
      </c>
      <c r="C104" s="1" t="s">
        <v>106</v>
      </c>
      <c r="D104" s="36"/>
      <c r="E104" s="12"/>
      <c r="F104" s="60">
        <f>IFERROR(VLOOKUP($C$2,Lookups!$A:$CR,85,0),0)</f>
        <v>0</v>
      </c>
      <c r="G104" s="1"/>
      <c r="H104" s="1"/>
      <c r="I104" s="1"/>
      <c r="J104" s="1"/>
      <c r="K104" s="1"/>
      <c r="L104" s="1"/>
      <c r="M104" s="1"/>
      <c r="N104" s="1"/>
      <c r="O104" s="1"/>
      <c r="P104" s="1"/>
      <c r="Q104" s="1"/>
      <c r="R104" s="1"/>
      <c r="S104" s="1"/>
      <c r="T104" s="1"/>
      <c r="U104" s="1"/>
      <c r="V104" s="1"/>
      <c r="W104" s="1"/>
      <c r="X104" s="1"/>
      <c r="Y104" s="1"/>
      <c r="Z104" s="1"/>
    </row>
    <row r="105" spans="1:26">
      <c r="A105" s="1"/>
      <c r="B105" s="10"/>
      <c r="C105" s="1"/>
      <c r="D105" s="1"/>
      <c r="E105" s="12"/>
      <c r="F105" s="60"/>
      <c r="G105" s="1"/>
      <c r="H105" s="1"/>
      <c r="I105" s="1"/>
      <c r="J105" s="1"/>
      <c r="K105" s="1"/>
      <c r="L105" s="1"/>
      <c r="M105" s="1"/>
      <c r="N105" s="1"/>
      <c r="O105" s="1"/>
      <c r="P105" s="1"/>
      <c r="Q105" s="1"/>
      <c r="R105" s="1"/>
      <c r="S105" s="1"/>
      <c r="T105" s="1"/>
      <c r="U105" s="1"/>
      <c r="V105" s="1"/>
      <c r="W105" s="1"/>
      <c r="X105" s="1"/>
      <c r="Y105" s="1"/>
      <c r="Z105" s="1"/>
    </row>
    <row r="106" spans="1:26">
      <c r="A106" s="1"/>
      <c r="B106" s="17"/>
      <c r="C106" s="37" t="s">
        <v>107</v>
      </c>
      <c r="D106" s="19"/>
      <c r="E106" s="38"/>
      <c r="F106" s="34">
        <f>IFERROR((F104/7)*12,0)</f>
        <v>0</v>
      </c>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7" t="s">
        <v>108</v>
      </c>
      <c r="C108" s="8"/>
      <c r="D108" s="8"/>
      <c r="E108" s="8"/>
      <c r="F108" s="9"/>
      <c r="G108" s="1"/>
      <c r="H108" s="1"/>
      <c r="I108" s="1"/>
      <c r="J108" s="1"/>
      <c r="K108" s="1"/>
      <c r="L108" s="1"/>
      <c r="M108" s="1"/>
      <c r="N108" s="1"/>
      <c r="O108" s="1"/>
      <c r="P108" s="1"/>
      <c r="Q108" s="1"/>
      <c r="R108" s="1"/>
      <c r="S108" s="1"/>
      <c r="T108" s="1"/>
      <c r="U108" s="1"/>
      <c r="V108" s="1"/>
      <c r="W108" s="1"/>
      <c r="X108" s="1"/>
      <c r="Y108" s="1"/>
      <c r="Z108" s="1"/>
    </row>
    <row r="109" spans="1:26">
      <c r="A109" s="1"/>
      <c r="B109" s="10"/>
      <c r="C109" s="1"/>
      <c r="D109" s="1"/>
      <c r="E109" s="1"/>
      <c r="F109" s="58"/>
      <c r="G109" s="1"/>
      <c r="H109" s="1"/>
      <c r="I109" s="1"/>
      <c r="J109" s="1"/>
      <c r="K109" s="1"/>
      <c r="L109" s="1"/>
      <c r="M109" s="1"/>
      <c r="N109" s="1"/>
      <c r="O109" s="1"/>
      <c r="P109" s="1"/>
      <c r="Q109" s="1"/>
      <c r="R109" s="1"/>
      <c r="S109" s="1"/>
      <c r="T109" s="1"/>
      <c r="U109" s="1"/>
      <c r="V109" s="1"/>
      <c r="W109" s="1"/>
      <c r="X109" s="1"/>
      <c r="Y109" s="1"/>
      <c r="Z109" s="1"/>
    </row>
    <row r="110" spans="1:26">
      <c r="A110" s="1"/>
      <c r="B110" s="10" t="s">
        <v>109</v>
      </c>
      <c r="C110" s="1"/>
      <c r="D110" s="36"/>
      <c r="E110" s="12"/>
      <c r="F110" s="60"/>
      <c r="G110" s="1"/>
      <c r="H110" s="1"/>
      <c r="I110" s="1"/>
      <c r="J110" s="1"/>
      <c r="K110" s="1"/>
      <c r="L110" s="1"/>
      <c r="M110" s="1"/>
      <c r="N110" s="1"/>
      <c r="O110" s="1"/>
      <c r="P110" s="1"/>
      <c r="Q110" s="1"/>
      <c r="R110" s="1"/>
      <c r="S110" s="1"/>
      <c r="T110" s="1"/>
      <c r="U110" s="1"/>
      <c r="V110" s="1"/>
      <c r="W110" s="1"/>
      <c r="X110" s="1"/>
      <c r="Y110" s="1"/>
      <c r="Z110" s="1"/>
    </row>
    <row r="111" spans="1:26">
      <c r="A111" s="1"/>
      <c r="B111" s="10" t="s">
        <v>110</v>
      </c>
      <c r="C111" s="1"/>
      <c r="D111" s="1"/>
      <c r="E111" s="12"/>
      <c r="F111" s="60"/>
      <c r="G111" s="1"/>
      <c r="H111" s="1"/>
      <c r="I111" s="1"/>
      <c r="J111" s="1"/>
      <c r="K111" s="1"/>
      <c r="L111" s="1"/>
      <c r="M111" s="1"/>
      <c r="N111" s="1"/>
      <c r="O111" s="1"/>
      <c r="P111" s="1"/>
      <c r="Q111" s="1"/>
      <c r="R111" s="1"/>
      <c r="S111" s="1"/>
      <c r="T111" s="1"/>
      <c r="U111" s="1"/>
      <c r="V111" s="1"/>
      <c r="W111" s="1"/>
      <c r="X111" s="1"/>
      <c r="Y111" s="1"/>
      <c r="Z111" s="1"/>
    </row>
    <row r="112" spans="1:26">
      <c r="A112" s="1"/>
      <c r="B112" s="10"/>
      <c r="C112" s="1"/>
      <c r="D112" s="1"/>
      <c r="E112" s="12"/>
      <c r="F112" s="60"/>
      <c r="G112" s="1"/>
      <c r="H112" s="1"/>
      <c r="I112" s="1"/>
      <c r="J112" s="1"/>
      <c r="K112" s="1"/>
      <c r="L112" s="1"/>
      <c r="M112" s="1"/>
      <c r="N112" s="1"/>
      <c r="O112" s="1"/>
      <c r="P112" s="1"/>
      <c r="Q112" s="1"/>
      <c r="R112" s="1"/>
      <c r="S112" s="1"/>
      <c r="T112" s="1"/>
      <c r="U112" s="1"/>
      <c r="V112" s="1"/>
      <c r="W112" s="1"/>
      <c r="X112" s="1"/>
      <c r="Y112" s="1"/>
      <c r="Z112" s="1"/>
    </row>
    <row r="113" spans="1:26">
      <c r="A113" s="1"/>
      <c r="B113" s="10" t="s">
        <v>111</v>
      </c>
      <c r="C113" s="1"/>
      <c r="D113" s="1"/>
      <c r="E113" s="12"/>
      <c r="F113" s="60"/>
      <c r="G113" s="1"/>
      <c r="H113" s="1"/>
      <c r="I113" s="1"/>
      <c r="J113" s="1"/>
      <c r="K113" s="1"/>
      <c r="L113" s="1"/>
      <c r="M113" s="1"/>
      <c r="N113" s="1"/>
      <c r="O113" s="1"/>
      <c r="P113" s="1"/>
      <c r="Q113" s="1"/>
      <c r="R113" s="1"/>
      <c r="S113" s="1"/>
      <c r="T113" s="1"/>
      <c r="U113" s="1"/>
      <c r="V113" s="1"/>
      <c r="W113" s="1"/>
      <c r="X113" s="1"/>
      <c r="Y113" s="1"/>
      <c r="Z113" s="1"/>
    </row>
    <row r="114" spans="1:26">
      <c r="A114" s="1"/>
      <c r="B114" s="10" t="s">
        <v>112</v>
      </c>
      <c r="C114" s="1"/>
      <c r="D114" s="1"/>
      <c r="E114" s="12"/>
      <c r="F114" s="60"/>
      <c r="G114" s="1"/>
      <c r="H114" s="1"/>
      <c r="I114" s="1"/>
      <c r="J114" s="1"/>
      <c r="K114" s="1"/>
      <c r="L114" s="1"/>
      <c r="M114" s="1"/>
      <c r="N114" s="1"/>
      <c r="O114" s="1"/>
      <c r="P114" s="1"/>
      <c r="Q114" s="1"/>
      <c r="R114" s="1"/>
      <c r="S114" s="1"/>
      <c r="T114" s="1"/>
      <c r="U114" s="1"/>
      <c r="V114" s="1"/>
      <c r="W114" s="1"/>
      <c r="X114" s="1"/>
      <c r="Y114" s="1"/>
      <c r="Z114" s="1"/>
    </row>
    <row r="115" spans="1:26">
      <c r="A115" s="1"/>
      <c r="B115" s="10"/>
      <c r="C115" s="1"/>
      <c r="D115" s="1"/>
      <c r="E115" s="12"/>
      <c r="F115" s="60"/>
      <c r="G115" s="1"/>
      <c r="H115" s="1"/>
      <c r="I115" s="1"/>
      <c r="J115" s="1"/>
      <c r="K115" s="1"/>
      <c r="L115" s="1"/>
      <c r="M115" s="1"/>
      <c r="N115" s="1"/>
      <c r="O115" s="1"/>
      <c r="P115" s="1"/>
      <c r="Q115" s="1"/>
      <c r="R115" s="1"/>
      <c r="S115" s="1"/>
      <c r="T115" s="1"/>
      <c r="U115" s="1"/>
      <c r="V115" s="1"/>
      <c r="W115" s="1"/>
      <c r="X115" s="1"/>
      <c r="Y115" s="1"/>
      <c r="Z115" s="1"/>
    </row>
    <row r="116" spans="1:26">
      <c r="A116" s="1"/>
      <c r="B116" s="10" t="s">
        <v>113</v>
      </c>
      <c r="C116" s="1"/>
      <c r="D116" s="1"/>
      <c r="E116" s="12"/>
      <c r="F116" s="60"/>
      <c r="G116" s="1"/>
      <c r="H116" s="1"/>
      <c r="I116" s="1"/>
      <c r="J116" s="1"/>
      <c r="K116" s="1"/>
      <c r="L116" s="1"/>
      <c r="M116" s="1"/>
      <c r="N116" s="1"/>
      <c r="O116" s="1"/>
      <c r="P116" s="1"/>
      <c r="Q116" s="1"/>
      <c r="R116" s="1"/>
      <c r="S116" s="1"/>
      <c r="T116" s="1"/>
      <c r="U116" s="1"/>
      <c r="V116" s="1"/>
      <c r="W116" s="1"/>
      <c r="X116" s="1"/>
      <c r="Y116" s="1"/>
      <c r="Z116" s="1"/>
    </row>
    <row r="117" spans="1:26">
      <c r="A117" s="1"/>
      <c r="B117" s="10" t="s">
        <v>114</v>
      </c>
      <c r="C117" s="1"/>
      <c r="D117" s="1"/>
      <c r="E117" s="12"/>
      <c r="F117" s="60"/>
      <c r="G117" s="1"/>
      <c r="H117" s="1"/>
      <c r="I117" s="1"/>
      <c r="J117" s="1"/>
      <c r="K117" s="1"/>
      <c r="L117" s="1"/>
      <c r="M117" s="1"/>
      <c r="N117" s="1"/>
      <c r="O117" s="1"/>
      <c r="P117" s="1"/>
      <c r="Q117" s="1"/>
      <c r="R117" s="1"/>
      <c r="S117" s="1"/>
      <c r="T117" s="1"/>
      <c r="U117" s="1"/>
      <c r="V117" s="1"/>
      <c r="W117" s="1"/>
      <c r="X117" s="1"/>
      <c r="Y117" s="1"/>
      <c r="Z117" s="1"/>
    </row>
    <row r="118" spans="1:26">
      <c r="A118" s="1"/>
      <c r="B118" s="10"/>
      <c r="C118" s="1"/>
      <c r="D118" s="1"/>
      <c r="E118" s="12"/>
      <c r="F118" s="60"/>
      <c r="G118" s="1"/>
      <c r="H118" s="1"/>
      <c r="I118" s="1"/>
      <c r="J118" s="1"/>
      <c r="K118" s="1"/>
      <c r="L118" s="1"/>
      <c r="M118" s="1"/>
      <c r="N118" s="1"/>
      <c r="O118" s="1"/>
      <c r="P118" s="1"/>
      <c r="Q118" s="1"/>
      <c r="R118" s="1"/>
      <c r="S118" s="1"/>
      <c r="T118" s="1"/>
      <c r="U118" s="1"/>
      <c r="V118" s="1"/>
      <c r="W118" s="1"/>
      <c r="X118" s="1"/>
      <c r="Y118" s="1"/>
      <c r="Z118" s="1"/>
    </row>
    <row r="119" spans="1:26">
      <c r="A119" s="1"/>
      <c r="B119" s="10" t="s">
        <v>115</v>
      </c>
      <c r="C119" s="1"/>
      <c r="D119" s="1"/>
      <c r="E119" s="12"/>
      <c r="F119" s="60"/>
      <c r="G119" s="1"/>
      <c r="H119" s="1"/>
      <c r="I119" s="1"/>
      <c r="J119" s="1"/>
      <c r="K119" s="1"/>
      <c r="L119" s="1"/>
      <c r="M119" s="1"/>
      <c r="N119" s="1"/>
      <c r="O119" s="1"/>
      <c r="P119" s="1"/>
      <c r="Q119" s="1"/>
      <c r="R119" s="1"/>
      <c r="S119" s="1"/>
      <c r="T119" s="1"/>
      <c r="U119" s="1"/>
      <c r="V119" s="1"/>
      <c r="W119" s="1"/>
      <c r="X119" s="1"/>
      <c r="Y119" s="1"/>
      <c r="Z119" s="1"/>
    </row>
    <row r="120" spans="1:26">
      <c r="A120" s="1"/>
      <c r="B120" s="10"/>
      <c r="C120" s="3"/>
      <c r="D120" s="1"/>
      <c r="E120" s="12"/>
      <c r="F120" s="65"/>
      <c r="G120" s="1"/>
      <c r="H120" s="1"/>
      <c r="I120" s="1"/>
      <c r="J120" s="1"/>
      <c r="K120" s="1"/>
      <c r="L120" s="1"/>
      <c r="M120" s="1"/>
      <c r="N120" s="1"/>
      <c r="O120" s="1"/>
      <c r="P120" s="1"/>
      <c r="Q120" s="1"/>
      <c r="R120" s="1"/>
      <c r="S120" s="1"/>
      <c r="T120" s="1"/>
      <c r="U120" s="1"/>
      <c r="V120" s="1"/>
      <c r="W120" s="1"/>
      <c r="X120" s="1"/>
      <c r="Y120" s="1"/>
      <c r="Z120" s="1"/>
    </row>
    <row r="121" spans="1:26">
      <c r="A121" s="1"/>
      <c r="B121" s="17"/>
      <c r="C121" s="37" t="s">
        <v>116</v>
      </c>
      <c r="D121" s="19"/>
      <c r="E121" s="38"/>
      <c r="F121" s="39">
        <v>0</v>
      </c>
      <c r="G121" s="1"/>
      <c r="H121" s="1"/>
      <c r="I121" s="1"/>
      <c r="J121" s="1"/>
      <c r="K121" s="1"/>
      <c r="L121" s="1"/>
      <c r="M121" s="1"/>
      <c r="N121" s="1"/>
      <c r="O121" s="1"/>
      <c r="P121" s="1"/>
      <c r="Q121" s="1"/>
      <c r="R121" s="1"/>
      <c r="S121" s="1"/>
      <c r="T121" s="1"/>
      <c r="U121" s="1"/>
      <c r="V121" s="1"/>
      <c r="W121" s="1"/>
      <c r="X121" s="1"/>
      <c r="Y121" s="1"/>
      <c r="Z121" s="1"/>
    </row>
    <row r="122"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7" t="s">
        <v>117</v>
      </c>
      <c r="C123" s="8"/>
      <c r="D123" s="8"/>
      <c r="E123" s="8"/>
      <c r="F123" s="9"/>
      <c r="G123" s="1"/>
      <c r="H123" s="1"/>
      <c r="I123" s="1"/>
      <c r="J123" s="1"/>
      <c r="K123" s="1"/>
      <c r="L123" s="1"/>
      <c r="M123" s="1"/>
      <c r="N123" s="1"/>
      <c r="O123" s="1"/>
      <c r="P123" s="1"/>
      <c r="Q123" s="1"/>
      <c r="R123" s="1"/>
      <c r="S123" s="1"/>
      <c r="T123" s="1"/>
      <c r="U123" s="1"/>
      <c r="V123" s="1"/>
      <c r="W123" s="1"/>
      <c r="X123" s="1"/>
      <c r="Y123" s="1"/>
      <c r="Z123" s="1"/>
    </row>
    <row r="124" spans="1:26">
      <c r="A124" s="1"/>
      <c r="B124" s="10"/>
      <c r="C124" s="1"/>
      <c r="D124" s="1"/>
      <c r="E124" s="1"/>
      <c r="F124" s="58"/>
      <c r="G124" s="1"/>
      <c r="H124" s="1"/>
      <c r="I124" s="1"/>
      <c r="J124" s="1"/>
      <c r="K124" s="1"/>
      <c r="L124" s="1"/>
      <c r="M124" s="1"/>
      <c r="N124" s="1"/>
      <c r="O124" s="1"/>
      <c r="P124" s="1"/>
      <c r="Q124" s="1"/>
      <c r="R124" s="1"/>
      <c r="S124" s="1"/>
      <c r="T124" s="1"/>
      <c r="U124" s="1"/>
      <c r="V124" s="1"/>
      <c r="W124" s="1"/>
      <c r="X124" s="1"/>
      <c r="Y124" s="1"/>
      <c r="Z124" s="1"/>
    </row>
    <row r="125" spans="1:26">
      <c r="A125" s="1"/>
      <c r="B125" s="35" t="s">
        <v>105</v>
      </c>
      <c r="C125" s="1"/>
      <c r="D125" s="1"/>
      <c r="E125" s="1"/>
      <c r="F125" s="58"/>
      <c r="G125" s="1"/>
      <c r="I125" s="1"/>
      <c r="J125" s="1"/>
      <c r="K125" s="1"/>
      <c r="L125" s="1"/>
      <c r="M125" s="1"/>
      <c r="N125" s="1"/>
      <c r="O125" s="1"/>
      <c r="P125" s="1"/>
      <c r="Q125" s="1"/>
      <c r="R125" s="1"/>
      <c r="S125" s="1"/>
      <c r="T125" s="1"/>
      <c r="U125" s="1"/>
      <c r="V125" s="1"/>
      <c r="W125" s="1"/>
      <c r="X125" s="1"/>
      <c r="Y125" s="1"/>
      <c r="Z125" s="1"/>
    </row>
    <row r="126" spans="1:26">
      <c r="A126" s="1"/>
      <c r="B126" s="10"/>
      <c r="C126" s="1"/>
      <c r="D126" s="1"/>
      <c r="E126" s="1"/>
      <c r="F126" s="58"/>
      <c r="G126" s="1"/>
      <c r="H126" s="1"/>
      <c r="J126" s="1"/>
      <c r="K126" s="1"/>
      <c r="L126" s="1"/>
      <c r="M126" s="1"/>
      <c r="N126" s="1"/>
      <c r="O126" s="1"/>
      <c r="P126" s="1"/>
      <c r="Q126" s="1"/>
      <c r="R126" s="1"/>
      <c r="S126" s="1"/>
      <c r="T126" s="1"/>
      <c r="U126" s="1"/>
      <c r="V126" s="1"/>
      <c r="W126" s="1"/>
      <c r="X126" s="1"/>
      <c r="Y126" s="1"/>
      <c r="Z126" s="1"/>
    </row>
    <row r="127" spans="1:26">
      <c r="A127" s="1"/>
      <c r="B127" s="10" t="s">
        <v>118</v>
      </c>
      <c r="C127" s="1"/>
      <c r="D127" s="4"/>
      <c r="E127" s="14">
        <v>1480</v>
      </c>
      <c r="F127" s="66">
        <f t="shared" ref="F127:F129" si="6">D127*E127</f>
        <v>0</v>
      </c>
      <c r="G127" s="1"/>
      <c r="H127" s="1"/>
      <c r="I127" s="1"/>
      <c r="J127" s="1"/>
      <c r="K127" s="1"/>
      <c r="L127" s="1"/>
      <c r="M127" s="1"/>
      <c r="N127" s="1"/>
      <c r="O127" s="1"/>
      <c r="P127" s="1"/>
      <c r="Q127" s="1"/>
      <c r="R127" s="1"/>
      <c r="S127" s="1"/>
      <c r="T127" s="1"/>
      <c r="U127" s="1"/>
      <c r="V127" s="1"/>
      <c r="W127" s="1"/>
      <c r="X127" s="1"/>
      <c r="Y127" s="1"/>
      <c r="Z127" s="1"/>
    </row>
    <row r="128" spans="1:26">
      <c r="A128" s="1"/>
      <c r="B128" s="10" t="s">
        <v>119</v>
      </c>
      <c r="C128" s="1"/>
      <c r="D128" s="4"/>
      <c r="E128" s="14">
        <v>1050</v>
      </c>
      <c r="F128" s="66">
        <f t="shared" si="6"/>
        <v>0</v>
      </c>
      <c r="G128" s="1"/>
      <c r="H128" s="1"/>
      <c r="I128" s="1"/>
      <c r="J128" s="1"/>
      <c r="K128" s="1"/>
      <c r="L128" s="1"/>
      <c r="M128" s="1"/>
      <c r="N128" s="1"/>
      <c r="O128" s="1"/>
      <c r="P128" s="1"/>
      <c r="Q128" s="1"/>
      <c r="R128" s="1"/>
      <c r="S128" s="1"/>
      <c r="T128" s="1"/>
      <c r="U128" s="1"/>
      <c r="V128" s="1"/>
      <c r="W128" s="1"/>
      <c r="X128" s="1"/>
      <c r="Y128" s="1"/>
      <c r="Z128" s="1"/>
    </row>
    <row r="129" spans="1:26">
      <c r="A129" s="1"/>
      <c r="B129" s="10" t="s">
        <v>120</v>
      </c>
      <c r="C129" s="1"/>
      <c r="D129" s="4"/>
      <c r="E129" s="14">
        <v>2570</v>
      </c>
      <c r="F129" s="66">
        <f t="shared" si="6"/>
        <v>0</v>
      </c>
      <c r="G129" s="1"/>
      <c r="H129" s="1"/>
      <c r="I129" s="1"/>
      <c r="J129" s="1"/>
      <c r="K129" s="1"/>
      <c r="L129" s="1"/>
      <c r="M129" s="1"/>
      <c r="N129" s="1"/>
      <c r="O129" s="1"/>
      <c r="P129" s="1"/>
      <c r="Q129" s="1"/>
      <c r="R129" s="1"/>
      <c r="S129" s="1"/>
      <c r="T129" s="1"/>
      <c r="U129" s="1"/>
      <c r="V129" s="1"/>
      <c r="W129" s="1"/>
      <c r="X129" s="1"/>
      <c r="Y129" s="1"/>
      <c r="Z129" s="1"/>
    </row>
    <row r="130" spans="1:26">
      <c r="A130" s="1"/>
      <c r="B130" s="10"/>
      <c r="C130" s="1"/>
      <c r="D130" s="1"/>
      <c r="E130" s="14"/>
      <c r="F130" s="66"/>
      <c r="G130" s="1"/>
      <c r="H130" s="1"/>
      <c r="I130" s="1"/>
      <c r="J130" s="1"/>
      <c r="K130" s="1"/>
      <c r="L130" s="1"/>
      <c r="M130" s="1"/>
      <c r="N130" s="1"/>
      <c r="O130" s="1"/>
      <c r="P130" s="1"/>
      <c r="Q130" s="1"/>
      <c r="R130" s="1"/>
      <c r="S130" s="1"/>
      <c r="T130" s="1"/>
      <c r="U130" s="1"/>
      <c r="V130" s="1"/>
      <c r="W130" s="1"/>
      <c r="X130" s="1"/>
      <c r="Y130" s="1"/>
      <c r="Z130" s="1"/>
    </row>
    <row r="131" spans="1:26">
      <c r="A131" s="1"/>
      <c r="B131" s="17"/>
      <c r="C131" s="37" t="s">
        <v>116</v>
      </c>
      <c r="D131" s="19"/>
      <c r="E131" s="38"/>
      <c r="F131" s="34">
        <f>SUM(F127:F129)</f>
        <v>0</v>
      </c>
      <c r="G131" s="1"/>
      <c r="H131" s="1"/>
      <c r="I131" s="1"/>
      <c r="J131" s="1"/>
      <c r="K131" s="1"/>
      <c r="L131" s="1"/>
      <c r="M131" s="1"/>
      <c r="N131" s="1"/>
      <c r="O131" s="1"/>
      <c r="P131" s="1"/>
      <c r="Q131" s="1"/>
      <c r="R131" s="1"/>
      <c r="S131" s="1"/>
      <c r="T131" s="1"/>
      <c r="U131" s="1"/>
      <c r="V131" s="1"/>
      <c r="W131" s="1"/>
      <c r="X131" s="1"/>
      <c r="Y131" s="1"/>
      <c r="Z131" s="1"/>
    </row>
    <row r="132" spans="1:26">
      <c r="A132" s="1"/>
      <c r="B132" s="1"/>
      <c r="C132" s="1"/>
      <c r="D132" s="1"/>
      <c r="E132" s="14"/>
      <c r="F132" s="14"/>
      <c r="G132" s="1"/>
      <c r="H132" s="1"/>
      <c r="I132" s="1"/>
      <c r="J132" s="1"/>
      <c r="K132" s="1"/>
      <c r="L132" s="1"/>
      <c r="M132" s="1"/>
      <c r="N132" s="1"/>
      <c r="O132" s="1"/>
      <c r="P132" s="1"/>
      <c r="Q132" s="1"/>
      <c r="R132" s="1"/>
      <c r="S132" s="1"/>
      <c r="T132" s="1"/>
      <c r="U132" s="1"/>
      <c r="V132" s="1"/>
      <c r="W132" s="1"/>
      <c r="X132" s="1"/>
      <c r="Y132" s="1"/>
      <c r="Z132" s="1"/>
    </row>
    <row r="133" spans="1:26">
      <c r="A133" s="1"/>
      <c r="B133" s="7" t="s">
        <v>121</v>
      </c>
      <c r="C133" s="8"/>
      <c r="D133" s="8"/>
      <c r="E133" s="8"/>
      <c r="F133" s="9"/>
      <c r="G133" s="1"/>
      <c r="H133" s="1"/>
      <c r="I133" s="1"/>
      <c r="J133" s="1"/>
      <c r="K133" s="1"/>
      <c r="L133" s="1"/>
      <c r="M133" s="1"/>
      <c r="N133" s="1"/>
      <c r="O133" s="1"/>
      <c r="P133" s="1"/>
      <c r="Q133" s="1"/>
      <c r="R133" s="1"/>
      <c r="S133" s="1"/>
      <c r="T133" s="1"/>
      <c r="U133" s="1"/>
      <c r="V133" s="1"/>
      <c r="W133" s="1"/>
      <c r="X133" s="1"/>
      <c r="Y133" s="1"/>
      <c r="Z133" s="1"/>
    </row>
    <row r="134" spans="1:26">
      <c r="A134" s="1"/>
      <c r="B134" s="10"/>
      <c r="C134" s="1"/>
      <c r="D134" s="1"/>
      <c r="E134" s="1"/>
      <c r="F134" s="58"/>
      <c r="G134" s="1"/>
      <c r="H134" s="1"/>
      <c r="I134" s="1"/>
      <c r="J134" s="1"/>
      <c r="K134" s="1"/>
      <c r="L134" s="1"/>
      <c r="M134" s="1"/>
      <c r="N134" s="1"/>
      <c r="O134" s="1"/>
      <c r="P134" s="1"/>
      <c r="Q134" s="1"/>
      <c r="R134" s="1"/>
      <c r="S134" s="1"/>
      <c r="T134" s="1"/>
      <c r="U134" s="1"/>
      <c r="V134" s="1"/>
      <c r="W134" s="1"/>
      <c r="X134" s="1"/>
      <c r="Y134" s="1"/>
      <c r="Z134" s="1"/>
    </row>
    <row r="135" spans="1:26">
      <c r="A135" s="1"/>
      <c r="B135" s="35" t="s">
        <v>105</v>
      </c>
      <c r="C135" s="1"/>
      <c r="D135" s="1"/>
      <c r="E135" s="1"/>
      <c r="F135" s="58"/>
      <c r="G135" s="1"/>
      <c r="H135" s="1"/>
      <c r="I135" s="1"/>
      <c r="J135" s="1"/>
      <c r="K135" s="1"/>
      <c r="L135" s="1"/>
      <c r="M135" s="1"/>
      <c r="N135" s="1"/>
      <c r="O135" s="1"/>
      <c r="P135" s="1"/>
      <c r="Q135" s="1"/>
      <c r="R135" s="1"/>
      <c r="S135" s="1"/>
      <c r="T135" s="1"/>
      <c r="U135" s="1"/>
      <c r="V135" s="1"/>
      <c r="W135" s="1"/>
      <c r="X135" s="1"/>
      <c r="Y135" s="1"/>
      <c r="Z135" s="1"/>
    </row>
    <row r="136" spans="1:26">
      <c r="A136" s="1"/>
      <c r="B136" s="10"/>
      <c r="C136" s="1"/>
      <c r="D136" s="1"/>
      <c r="E136" s="1"/>
      <c r="F136" s="58"/>
      <c r="G136" s="1"/>
      <c r="H136" s="1"/>
      <c r="I136" s="1"/>
      <c r="J136" s="1"/>
      <c r="K136" s="1"/>
      <c r="L136" s="1"/>
      <c r="M136" s="1"/>
      <c r="N136" s="1"/>
      <c r="O136" s="1"/>
      <c r="P136" s="1"/>
      <c r="Q136" s="1"/>
      <c r="R136" s="1"/>
      <c r="S136" s="1"/>
      <c r="T136" s="1"/>
      <c r="U136" s="1"/>
      <c r="V136" s="1"/>
      <c r="W136" s="1"/>
      <c r="X136" s="1"/>
      <c r="Y136" s="1"/>
      <c r="Z136" s="1"/>
    </row>
    <row r="137" spans="1:26">
      <c r="A137" s="1"/>
      <c r="B137" s="10" t="s">
        <v>122</v>
      </c>
      <c r="C137" s="1"/>
      <c r="D137" s="1"/>
      <c r="E137" s="1"/>
      <c r="F137" s="58"/>
      <c r="G137" s="1"/>
      <c r="H137" s="1"/>
      <c r="I137" s="1"/>
      <c r="J137" s="1"/>
      <c r="K137" s="1"/>
      <c r="L137" s="1"/>
      <c r="M137" s="1"/>
      <c r="N137" s="1"/>
      <c r="O137" s="1"/>
      <c r="P137" s="1"/>
      <c r="Q137" s="1"/>
      <c r="R137" s="1"/>
      <c r="S137" s="1"/>
      <c r="T137" s="1"/>
      <c r="U137" s="1"/>
      <c r="V137" s="1"/>
      <c r="W137" s="1"/>
      <c r="X137" s="1"/>
      <c r="Y137" s="1"/>
      <c r="Z137" s="1"/>
    </row>
    <row r="138" spans="1:26">
      <c r="A138" s="1"/>
      <c r="B138" s="10" t="s">
        <v>123</v>
      </c>
      <c r="C138" s="1"/>
      <c r="D138" s="1"/>
      <c r="E138" s="1"/>
      <c r="F138" s="58"/>
      <c r="G138" s="1"/>
      <c r="H138" s="1"/>
      <c r="I138" s="1"/>
      <c r="J138" s="1"/>
      <c r="K138" s="1"/>
      <c r="L138" s="1"/>
      <c r="M138" s="1"/>
      <c r="N138" s="1"/>
      <c r="O138" s="1"/>
      <c r="P138" s="1"/>
      <c r="Q138" s="1"/>
      <c r="R138" s="1"/>
      <c r="S138" s="1"/>
      <c r="T138" s="1"/>
      <c r="U138" s="1"/>
      <c r="V138" s="1"/>
      <c r="W138" s="1"/>
      <c r="X138" s="1"/>
      <c r="Y138" s="1"/>
      <c r="Z138" s="1"/>
    </row>
    <row r="139" spans="1:26">
      <c r="A139" s="1"/>
      <c r="B139" s="10"/>
      <c r="C139" s="1"/>
      <c r="D139" s="1"/>
      <c r="E139" s="1"/>
      <c r="F139" s="58"/>
      <c r="G139" s="1"/>
      <c r="H139" s="1"/>
      <c r="I139" s="1"/>
      <c r="J139" s="1"/>
      <c r="K139" s="1"/>
      <c r="L139" s="1"/>
      <c r="M139" s="1"/>
      <c r="N139" s="1"/>
      <c r="O139" s="1"/>
      <c r="P139" s="1"/>
      <c r="Q139" s="1"/>
      <c r="R139" s="1"/>
      <c r="S139" s="1"/>
      <c r="T139" s="1"/>
      <c r="U139" s="1"/>
      <c r="V139" s="1"/>
      <c r="W139" s="1"/>
      <c r="X139" s="1"/>
      <c r="Y139" s="1"/>
      <c r="Z139" s="1"/>
    </row>
    <row r="140" spans="1:26">
      <c r="A140" s="1"/>
      <c r="B140" s="10" t="s">
        <v>124</v>
      </c>
      <c r="C140" s="40">
        <v>45200</v>
      </c>
      <c r="D140" s="4"/>
      <c r="E140" s="1"/>
      <c r="F140" s="58"/>
      <c r="G140" s="1"/>
      <c r="H140" s="1"/>
      <c r="I140" s="1"/>
      <c r="J140" s="1"/>
      <c r="K140" s="1"/>
      <c r="L140" s="1"/>
      <c r="M140" s="1"/>
      <c r="N140" s="1"/>
      <c r="O140" s="1"/>
      <c r="P140" s="1"/>
      <c r="Q140" s="1"/>
      <c r="R140" s="1"/>
      <c r="S140" s="1"/>
      <c r="T140" s="1"/>
      <c r="U140" s="1"/>
      <c r="V140" s="1"/>
      <c r="W140" s="1"/>
      <c r="X140" s="1"/>
      <c r="Y140" s="1"/>
      <c r="Z140" s="1"/>
    </row>
    <row r="141" spans="1:26">
      <c r="A141" s="1"/>
      <c r="B141" s="10"/>
      <c r="C141" s="40">
        <v>45292</v>
      </c>
      <c r="D141" s="4"/>
      <c r="E141" s="1"/>
      <c r="F141" s="58"/>
      <c r="G141" s="1"/>
      <c r="H141" s="1"/>
      <c r="I141" s="1"/>
      <c r="J141" s="1"/>
      <c r="K141" s="1"/>
      <c r="L141" s="1"/>
      <c r="M141" s="1"/>
      <c r="N141" s="1"/>
      <c r="O141" s="1"/>
      <c r="P141" s="1"/>
      <c r="Q141" s="1"/>
      <c r="R141" s="1"/>
      <c r="S141" s="1"/>
      <c r="T141" s="1"/>
      <c r="U141" s="1"/>
      <c r="V141" s="1"/>
      <c r="W141" s="1"/>
      <c r="X141" s="1"/>
      <c r="Y141" s="1"/>
      <c r="Z141" s="1"/>
    </row>
    <row r="142" spans="1:26">
      <c r="A142" s="1"/>
      <c r="B142" s="10"/>
      <c r="C142" s="40">
        <v>45566</v>
      </c>
      <c r="D142" s="4"/>
      <c r="E142" s="1"/>
      <c r="F142" s="58"/>
      <c r="G142" s="1"/>
      <c r="H142" s="1"/>
      <c r="I142" s="1"/>
      <c r="J142" s="1"/>
      <c r="K142" s="1"/>
      <c r="L142" s="1"/>
      <c r="M142" s="1"/>
      <c r="N142" s="1"/>
      <c r="O142" s="1"/>
      <c r="P142" s="1"/>
      <c r="Q142" s="1"/>
      <c r="R142" s="1"/>
      <c r="S142" s="1"/>
      <c r="T142" s="1"/>
      <c r="U142" s="1"/>
      <c r="V142" s="1"/>
      <c r="W142" s="1"/>
      <c r="X142" s="1"/>
      <c r="Y142" s="1"/>
      <c r="Z142" s="1"/>
    </row>
    <row r="143" spans="1:26">
      <c r="A143" s="1"/>
      <c r="B143" s="10"/>
      <c r="C143" s="40">
        <v>45658</v>
      </c>
      <c r="D143" s="4"/>
      <c r="E143" s="1"/>
      <c r="F143" s="58"/>
      <c r="G143" s="1"/>
      <c r="H143" s="1"/>
      <c r="I143" s="1"/>
      <c r="J143" s="1"/>
      <c r="K143" s="1"/>
      <c r="L143" s="1"/>
      <c r="M143" s="1"/>
      <c r="N143" s="1"/>
      <c r="O143" s="1"/>
      <c r="P143" s="1"/>
      <c r="Q143" s="1"/>
      <c r="R143" s="1"/>
      <c r="S143" s="1"/>
      <c r="T143" s="1"/>
      <c r="U143" s="1"/>
      <c r="V143" s="1"/>
      <c r="W143" s="1"/>
      <c r="X143" s="1"/>
      <c r="Y143" s="1"/>
      <c r="Z143" s="1"/>
    </row>
    <row r="144" spans="1:26">
      <c r="A144" s="1"/>
      <c r="B144" s="10"/>
      <c r="C144" s="1"/>
      <c r="D144" s="1"/>
      <c r="E144" s="1"/>
      <c r="F144" s="58"/>
      <c r="G144" s="1"/>
      <c r="H144" s="1"/>
      <c r="I144" s="1"/>
      <c r="J144" s="1"/>
      <c r="K144" s="1"/>
      <c r="L144" s="1"/>
      <c r="M144" s="1"/>
      <c r="N144" s="1"/>
      <c r="O144" s="1"/>
      <c r="P144" s="1"/>
      <c r="Q144" s="1"/>
      <c r="R144" s="1"/>
      <c r="S144" s="1"/>
      <c r="T144" s="1"/>
      <c r="U144" s="1"/>
      <c r="V144" s="1"/>
      <c r="W144" s="1"/>
      <c r="X144" s="1"/>
      <c r="Y144" s="1"/>
      <c r="Z144" s="1"/>
    </row>
    <row r="145" spans="1:26">
      <c r="A145" s="1"/>
      <c r="B145" s="10" t="s">
        <v>125</v>
      </c>
      <c r="C145" s="40">
        <v>45200</v>
      </c>
      <c r="D145" s="4"/>
      <c r="E145" s="1"/>
      <c r="F145" s="58"/>
      <c r="G145" s="1"/>
      <c r="H145" s="1"/>
      <c r="I145" s="1"/>
      <c r="J145" s="1"/>
      <c r="K145" s="1"/>
      <c r="L145" s="1"/>
      <c r="M145" s="1"/>
      <c r="N145" s="1"/>
      <c r="O145" s="1"/>
      <c r="P145" s="1"/>
      <c r="Q145" s="1"/>
      <c r="R145" s="1"/>
      <c r="S145" s="1"/>
      <c r="T145" s="1"/>
      <c r="U145" s="1"/>
      <c r="V145" s="1"/>
      <c r="W145" s="1"/>
      <c r="X145" s="1"/>
      <c r="Y145" s="1"/>
      <c r="Z145" s="1"/>
    </row>
    <row r="146" spans="1:26">
      <c r="A146" s="1"/>
      <c r="B146" s="10"/>
      <c r="C146" s="40">
        <v>45292</v>
      </c>
      <c r="D146" s="4"/>
      <c r="E146" s="1"/>
      <c r="F146" s="58"/>
      <c r="G146" s="1"/>
      <c r="H146" s="1"/>
      <c r="I146" s="1"/>
      <c r="J146" s="1"/>
      <c r="K146" s="1"/>
      <c r="L146" s="1"/>
      <c r="M146" s="1"/>
      <c r="N146" s="1"/>
      <c r="O146" s="1"/>
      <c r="P146" s="1"/>
      <c r="Q146" s="1"/>
      <c r="R146" s="1"/>
      <c r="S146" s="1"/>
      <c r="T146" s="1"/>
      <c r="U146" s="1"/>
      <c r="V146" s="1"/>
      <c r="W146" s="1"/>
      <c r="X146" s="1"/>
      <c r="Y146" s="1"/>
      <c r="Z146" s="1"/>
    </row>
    <row r="147" spans="1:26">
      <c r="A147" s="1"/>
      <c r="B147" s="10"/>
      <c r="C147" s="40">
        <v>45566</v>
      </c>
      <c r="D147" s="4"/>
      <c r="E147" s="1"/>
      <c r="F147" s="58"/>
      <c r="G147" s="1"/>
      <c r="H147" s="1"/>
      <c r="I147" s="1"/>
      <c r="J147" s="1"/>
      <c r="K147" s="1"/>
      <c r="L147" s="1"/>
      <c r="M147" s="1"/>
      <c r="N147" s="1"/>
      <c r="O147" s="1"/>
      <c r="P147" s="1"/>
      <c r="Q147" s="1"/>
      <c r="R147" s="1"/>
      <c r="S147" s="1"/>
      <c r="T147" s="1"/>
      <c r="U147" s="1"/>
      <c r="V147" s="1"/>
      <c r="W147" s="1"/>
      <c r="X147" s="1"/>
      <c r="Y147" s="1"/>
      <c r="Z147" s="1"/>
    </row>
    <row r="148" spans="1:26">
      <c r="A148" s="1"/>
      <c r="B148" s="10"/>
      <c r="C148" s="40">
        <v>45658</v>
      </c>
      <c r="D148" s="4"/>
      <c r="E148" s="1"/>
      <c r="F148" s="58"/>
      <c r="G148" s="1"/>
      <c r="H148" s="1"/>
      <c r="I148" s="1"/>
      <c r="J148" s="1"/>
      <c r="K148" s="1"/>
      <c r="L148" s="1"/>
      <c r="M148" s="1"/>
      <c r="N148" s="1"/>
      <c r="O148" s="1"/>
      <c r="P148" s="1"/>
      <c r="Q148" s="1"/>
      <c r="R148" s="1"/>
      <c r="S148" s="1"/>
      <c r="T148" s="1"/>
      <c r="U148" s="1"/>
      <c r="V148" s="1"/>
      <c r="W148" s="1"/>
      <c r="X148" s="1"/>
      <c r="Y148" s="1"/>
      <c r="Z148" s="1"/>
    </row>
    <row r="149" spans="1:26">
      <c r="A149" s="1"/>
      <c r="B149" s="10"/>
      <c r="C149" s="1"/>
      <c r="D149" s="1"/>
      <c r="E149" s="1"/>
      <c r="F149" s="58"/>
      <c r="G149" s="1"/>
      <c r="H149" s="1"/>
      <c r="I149" s="1"/>
      <c r="J149" s="1"/>
      <c r="K149" s="1"/>
      <c r="L149" s="1"/>
      <c r="M149" s="1"/>
      <c r="N149" s="1"/>
      <c r="O149" s="1"/>
      <c r="P149" s="1"/>
      <c r="Q149" s="1"/>
      <c r="R149" s="1"/>
      <c r="S149" s="1"/>
      <c r="T149" s="1"/>
      <c r="U149" s="1"/>
      <c r="V149" s="1"/>
      <c r="W149" s="1"/>
      <c r="X149" s="1"/>
      <c r="Y149" s="1"/>
      <c r="Z149" s="1"/>
    </row>
    <row r="150" spans="1:26">
      <c r="A150" s="1"/>
      <c r="B150" s="10" t="s">
        <v>126</v>
      </c>
      <c r="C150" s="1" t="s">
        <v>127</v>
      </c>
      <c r="D150" s="1">
        <f>MAX(D141,((D140+D141)/2))</f>
        <v>0</v>
      </c>
      <c r="E150" s="1"/>
      <c r="F150" s="58"/>
      <c r="G150" s="1"/>
      <c r="H150" s="1"/>
      <c r="I150" s="1"/>
      <c r="J150" s="1"/>
      <c r="K150" s="1"/>
      <c r="L150" s="1"/>
      <c r="M150" s="1"/>
      <c r="N150" s="1"/>
      <c r="O150" s="1"/>
      <c r="P150" s="1"/>
      <c r="Q150" s="1"/>
      <c r="R150" s="1"/>
      <c r="S150" s="1"/>
      <c r="T150" s="1"/>
      <c r="U150" s="1"/>
      <c r="V150" s="1"/>
      <c r="W150" s="1"/>
      <c r="X150" s="1"/>
      <c r="Y150" s="1"/>
      <c r="Z150" s="1"/>
    </row>
    <row r="151" spans="1:26">
      <c r="A151" s="1"/>
      <c r="B151" s="10"/>
      <c r="C151" s="1" t="s">
        <v>128</v>
      </c>
      <c r="D151" s="1">
        <f>(D145+D146)/2</f>
        <v>0</v>
      </c>
      <c r="E151" s="1"/>
      <c r="F151" s="58"/>
      <c r="G151" s="1"/>
      <c r="H151" s="1"/>
      <c r="I151" s="1"/>
      <c r="J151" s="1"/>
      <c r="K151" s="1"/>
      <c r="L151" s="1"/>
      <c r="M151" s="1"/>
      <c r="N151" s="1"/>
      <c r="O151" s="1"/>
      <c r="P151" s="1"/>
      <c r="Q151" s="1"/>
      <c r="R151" s="1"/>
      <c r="S151" s="1"/>
      <c r="T151" s="1"/>
      <c r="U151" s="1"/>
      <c r="V151" s="1"/>
      <c r="W151" s="1"/>
      <c r="X151" s="1"/>
      <c r="Y151" s="1"/>
      <c r="Z151" s="1"/>
    </row>
    <row r="152" spans="1:26">
      <c r="A152" s="1"/>
      <c r="B152" s="10"/>
      <c r="C152" s="1"/>
      <c r="D152" s="1"/>
      <c r="E152" s="1"/>
      <c r="F152" s="58"/>
      <c r="G152" s="1"/>
      <c r="H152" s="1"/>
      <c r="I152" s="1"/>
      <c r="J152" s="1"/>
      <c r="K152" s="1"/>
      <c r="L152" s="1"/>
      <c r="M152" s="1"/>
      <c r="N152" s="1"/>
      <c r="O152" s="1"/>
      <c r="P152" s="1"/>
      <c r="Q152" s="1"/>
      <c r="R152" s="1"/>
      <c r="S152" s="1"/>
      <c r="T152" s="1"/>
      <c r="U152" s="1"/>
      <c r="V152" s="1"/>
      <c r="W152" s="1"/>
      <c r="X152" s="1"/>
      <c r="Y152" s="1"/>
      <c r="Z152" s="1"/>
    </row>
    <row r="153" spans="1:26">
      <c r="A153" s="1"/>
      <c r="B153" s="10" t="s">
        <v>129</v>
      </c>
      <c r="C153" s="1" t="s">
        <v>127</v>
      </c>
      <c r="D153" s="41">
        <f>MAX(D143,((D142+D143)/2))</f>
        <v>0</v>
      </c>
      <c r="E153" s="1"/>
      <c r="F153" s="58"/>
      <c r="G153" s="1"/>
      <c r="H153" s="1"/>
      <c r="I153" s="1"/>
      <c r="J153" s="1"/>
      <c r="K153" s="1"/>
      <c r="L153" s="1"/>
      <c r="M153" s="1"/>
      <c r="N153" s="1"/>
      <c r="O153" s="1"/>
      <c r="P153" s="1"/>
      <c r="Q153" s="1"/>
      <c r="R153" s="1"/>
      <c r="S153" s="1"/>
      <c r="T153" s="1"/>
      <c r="U153" s="1"/>
      <c r="V153" s="1"/>
      <c r="W153" s="1"/>
      <c r="X153" s="1"/>
      <c r="Y153" s="1"/>
      <c r="Z153" s="1"/>
    </row>
    <row r="154" spans="1:26">
      <c r="A154" s="1"/>
      <c r="B154" s="10"/>
      <c r="C154" s="1" t="s">
        <v>128</v>
      </c>
      <c r="D154" s="41">
        <f>(D147+D148)/2</f>
        <v>0</v>
      </c>
      <c r="E154" s="1"/>
      <c r="F154" s="58"/>
      <c r="G154" s="1"/>
      <c r="H154" s="1"/>
      <c r="I154" s="1"/>
      <c r="J154" s="1"/>
      <c r="K154" s="1"/>
      <c r="L154" s="1"/>
      <c r="M154" s="1"/>
      <c r="N154" s="1"/>
      <c r="O154" s="1"/>
      <c r="P154" s="1"/>
      <c r="Q154" s="1"/>
      <c r="R154" s="1"/>
      <c r="S154" s="1"/>
      <c r="T154" s="1"/>
      <c r="U154" s="1"/>
      <c r="V154" s="1"/>
      <c r="W154" s="1"/>
      <c r="X154" s="1"/>
      <c r="Y154" s="1"/>
      <c r="Z154" s="1"/>
    </row>
    <row r="155" spans="1:26">
      <c r="A155" s="1"/>
      <c r="B155" s="10"/>
      <c r="C155" s="1"/>
      <c r="D155" s="1"/>
      <c r="E155" s="1"/>
      <c r="F155" s="58"/>
      <c r="G155" s="1"/>
      <c r="H155" s="1"/>
      <c r="I155" s="1"/>
      <c r="J155" s="1"/>
      <c r="K155" s="1"/>
      <c r="L155" s="1"/>
      <c r="M155" s="1"/>
      <c r="N155" s="1"/>
      <c r="O155" s="1"/>
      <c r="P155" s="1"/>
      <c r="Q155" s="1"/>
      <c r="R155" s="1"/>
      <c r="S155" s="1"/>
      <c r="T155" s="1"/>
      <c r="U155" s="1"/>
      <c r="V155" s="1"/>
      <c r="W155" s="1"/>
      <c r="X155" s="1"/>
      <c r="Y155" s="1"/>
      <c r="Z155" s="1"/>
    </row>
    <row r="156" spans="1:26">
      <c r="A156" s="1"/>
      <c r="B156" s="10" t="s">
        <v>130</v>
      </c>
      <c r="C156" s="1"/>
      <c r="D156" s="1"/>
      <c r="E156" s="1"/>
      <c r="F156" s="66">
        <f>(D150+D151)*480.7</f>
        <v>0</v>
      </c>
      <c r="G156" s="1"/>
      <c r="H156" s="1"/>
      <c r="I156" s="1"/>
      <c r="J156" s="1"/>
      <c r="K156" s="1"/>
      <c r="L156" s="1"/>
      <c r="M156" s="1"/>
      <c r="N156" s="1"/>
      <c r="O156" s="1"/>
      <c r="P156" s="1"/>
      <c r="Q156" s="1"/>
      <c r="R156" s="1"/>
      <c r="S156" s="1"/>
      <c r="T156" s="1"/>
      <c r="U156" s="1"/>
      <c r="V156" s="1"/>
      <c r="W156" s="1"/>
      <c r="X156" s="1"/>
      <c r="Y156" s="1"/>
      <c r="Z156" s="1"/>
    </row>
    <row r="157" spans="1:26">
      <c r="A157" s="1"/>
      <c r="B157" s="10"/>
      <c r="C157" s="1"/>
      <c r="D157" s="1"/>
      <c r="E157" s="1"/>
      <c r="F157" s="66"/>
      <c r="G157" s="1"/>
      <c r="H157" s="1"/>
      <c r="I157" s="1"/>
      <c r="J157" s="1"/>
      <c r="K157" s="1"/>
      <c r="L157" s="1"/>
      <c r="M157" s="1"/>
      <c r="N157" s="1"/>
      <c r="O157" s="1"/>
      <c r="P157" s="1"/>
      <c r="Q157" s="1"/>
      <c r="R157" s="1"/>
      <c r="S157" s="1"/>
      <c r="T157" s="1"/>
      <c r="U157" s="1"/>
      <c r="V157" s="1"/>
      <c r="W157" s="1"/>
      <c r="X157" s="1"/>
      <c r="Y157" s="1"/>
      <c r="Z157" s="1"/>
    </row>
    <row r="158" spans="1:26">
      <c r="A158" s="1"/>
      <c r="B158" s="10" t="s">
        <v>131</v>
      </c>
      <c r="C158" s="1"/>
      <c r="D158" s="1"/>
      <c r="E158" s="1"/>
      <c r="F158" s="66">
        <f>(D153+D154)*480.7</f>
        <v>0</v>
      </c>
      <c r="G158" s="1"/>
      <c r="H158" s="1"/>
      <c r="I158" s="1"/>
      <c r="J158" s="1"/>
      <c r="K158" s="1"/>
      <c r="L158" s="1"/>
      <c r="M158" s="1"/>
      <c r="N158" s="1"/>
      <c r="O158" s="1"/>
      <c r="P158" s="1"/>
      <c r="Q158" s="1"/>
      <c r="R158" s="1"/>
      <c r="S158" s="1"/>
      <c r="T158" s="1"/>
      <c r="U158" s="1"/>
      <c r="V158" s="1"/>
      <c r="W158" s="1"/>
      <c r="X158" s="1"/>
      <c r="Y158" s="1"/>
      <c r="Z158" s="1"/>
    </row>
    <row r="159" spans="1:26">
      <c r="A159" s="1"/>
      <c r="B159" s="10"/>
      <c r="C159" s="1"/>
      <c r="D159" s="1"/>
      <c r="E159" s="1"/>
      <c r="F159" s="58"/>
      <c r="G159" s="1"/>
      <c r="H159" s="1"/>
      <c r="I159" s="1"/>
      <c r="J159" s="1"/>
      <c r="K159" s="1"/>
      <c r="L159" s="1"/>
      <c r="M159" s="1"/>
      <c r="N159" s="1"/>
      <c r="O159" s="1"/>
      <c r="P159" s="1"/>
      <c r="Q159" s="1"/>
      <c r="R159" s="1"/>
      <c r="S159" s="1"/>
      <c r="T159" s="1"/>
      <c r="U159" s="1"/>
      <c r="V159" s="1"/>
      <c r="W159" s="1"/>
      <c r="X159" s="1"/>
      <c r="Y159" s="1"/>
      <c r="Z159" s="1"/>
    </row>
    <row r="160" spans="1:26">
      <c r="A160" s="1"/>
      <c r="B160" s="33" t="s">
        <v>132</v>
      </c>
      <c r="C160" s="19"/>
      <c r="D160" s="19"/>
      <c r="E160" s="19"/>
      <c r="F160" s="42">
        <f>(F156*(5/12))+(F158*(7/12))</f>
        <v>0</v>
      </c>
      <c r="G160" s="1"/>
      <c r="H160" s="1"/>
      <c r="I160" s="1"/>
      <c r="J160" s="1"/>
      <c r="K160" s="1"/>
      <c r="L160" s="1"/>
      <c r="M160" s="1"/>
      <c r="N160" s="1"/>
      <c r="O160" s="1"/>
      <c r="P160" s="1"/>
      <c r="Q160" s="1"/>
      <c r="R160" s="1"/>
      <c r="S160" s="1"/>
      <c r="T160" s="1"/>
      <c r="U160" s="1"/>
      <c r="V160" s="1"/>
      <c r="W160" s="1"/>
      <c r="X160" s="1"/>
      <c r="Y160" s="1"/>
      <c r="Z160" s="1"/>
    </row>
    <row r="16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7" t="s">
        <v>133</v>
      </c>
      <c r="C163" s="8"/>
      <c r="D163" s="8"/>
      <c r="E163" s="8"/>
      <c r="F163" s="9"/>
      <c r="G163" s="1"/>
      <c r="H163" s="1"/>
      <c r="I163" s="1"/>
      <c r="J163" s="1"/>
      <c r="K163" s="1"/>
      <c r="L163" s="1"/>
      <c r="M163" s="1"/>
      <c r="N163" s="1"/>
      <c r="O163" s="1"/>
      <c r="P163" s="1"/>
      <c r="Q163" s="1"/>
      <c r="R163" s="1"/>
      <c r="S163" s="1"/>
      <c r="T163" s="1"/>
      <c r="U163" s="1"/>
      <c r="V163" s="1"/>
      <c r="W163" s="1"/>
      <c r="X163" s="1"/>
      <c r="Y163" s="1"/>
      <c r="Z163" s="1"/>
    </row>
    <row r="164" spans="1:26">
      <c r="A164" s="1"/>
      <c r="B164" s="30"/>
      <c r="C164" s="1"/>
      <c r="D164" s="1"/>
      <c r="E164" s="1"/>
      <c r="F164" s="58"/>
      <c r="G164" s="1"/>
      <c r="H164" s="1"/>
      <c r="I164" s="1"/>
      <c r="J164" s="1"/>
      <c r="K164" s="1"/>
      <c r="L164" s="1"/>
      <c r="M164" s="1"/>
      <c r="N164" s="1"/>
      <c r="O164" s="1"/>
      <c r="P164" s="1"/>
      <c r="Q164" s="1"/>
      <c r="R164" s="1"/>
      <c r="S164" s="1"/>
      <c r="T164" s="1"/>
      <c r="U164" s="1"/>
      <c r="V164" s="1"/>
      <c r="W164" s="1"/>
      <c r="X164" s="1"/>
      <c r="Y164" s="1"/>
      <c r="Z164" s="1"/>
    </row>
    <row r="165" spans="1:26">
      <c r="A165" s="1"/>
      <c r="B165" s="35" t="s">
        <v>105</v>
      </c>
      <c r="C165" s="1"/>
      <c r="D165" s="1"/>
      <c r="E165" s="1"/>
      <c r="F165" s="58"/>
      <c r="G165" s="1"/>
      <c r="H165" s="1"/>
      <c r="I165" s="1"/>
      <c r="J165" s="1"/>
      <c r="K165" s="1"/>
      <c r="L165" s="1"/>
      <c r="M165" s="1"/>
      <c r="N165" s="1"/>
      <c r="O165" s="1"/>
      <c r="P165" s="1"/>
      <c r="Q165" s="1"/>
      <c r="R165" s="1"/>
      <c r="S165" s="1"/>
      <c r="T165" s="1"/>
      <c r="U165" s="1"/>
      <c r="V165" s="1"/>
      <c r="W165" s="1"/>
      <c r="X165" s="1"/>
      <c r="Y165" s="1"/>
      <c r="Z165" s="1"/>
    </row>
    <row r="166" spans="1:26">
      <c r="A166" s="1"/>
      <c r="B166" s="10"/>
      <c r="C166" s="5"/>
      <c r="D166" s="5"/>
      <c r="E166" s="5"/>
      <c r="F166" s="58"/>
      <c r="G166" s="1"/>
      <c r="H166" s="1"/>
      <c r="I166" s="1"/>
      <c r="J166" s="1"/>
      <c r="K166" s="1"/>
      <c r="L166" s="1"/>
      <c r="M166" s="1"/>
      <c r="N166" s="1"/>
      <c r="O166" s="1"/>
      <c r="P166" s="1"/>
      <c r="Q166" s="1"/>
      <c r="R166" s="1"/>
      <c r="S166" s="1"/>
      <c r="T166" s="1"/>
      <c r="U166" s="1"/>
      <c r="V166" s="1"/>
      <c r="W166" s="1"/>
      <c r="X166" s="1"/>
      <c r="Y166" s="1"/>
      <c r="Z166" s="1"/>
    </row>
    <row r="167" spans="1:26">
      <c r="A167" s="1"/>
      <c r="B167" s="10" t="s">
        <v>134</v>
      </c>
      <c r="C167" s="1"/>
      <c r="D167" s="12"/>
      <c r="E167" s="1"/>
      <c r="F167" s="58"/>
      <c r="G167" s="1"/>
      <c r="H167" s="1"/>
      <c r="I167" s="1"/>
      <c r="J167" s="1"/>
      <c r="K167" s="1"/>
      <c r="L167" s="1"/>
      <c r="M167" s="1"/>
      <c r="N167" s="1"/>
      <c r="O167" s="1"/>
      <c r="P167" s="1"/>
      <c r="Q167" s="1"/>
      <c r="R167" s="1"/>
      <c r="S167" s="1"/>
      <c r="T167" s="1"/>
      <c r="U167" s="1"/>
      <c r="V167" s="1"/>
      <c r="W167" s="1"/>
      <c r="X167" s="1"/>
      <c r="Y167" s="1"/>
      <c r="Z167" s="1"/>
    </row>
    <row r="168" spans="1:26">
      <c r="A168" s="1"/>
      <c r="B168" s="10" t="s">
        <v>135</v>
      </c>
      <c r="C168" s="1"/>
      <c r="D168" s="12"/>
      <c r="E168" s="1"/>
      <c r="F168" s="58"/>
      <c r="G168" s="1"/>
      <c r="H168" s="1"/>
      <c r="I168" s="1"/>
      <c r="J168" s="1"/>
      <c r="K168" s="1"/>
      <c r="L168" s="1"/>
      <c r="M168" s="1"/>
      <c r="N168" s="1"/>
      <c r="O168" s="1"/>
      <c r="P168" s="1"/>
      <c r="Q168" s="1"/>
      <c r="R168" s="1"/>
      <c r="S168" s="1"/>
      <c r="T168" s="1"/>
      <c r="U168" s="1"/>
      <c r="V168" s="1"/>
      <c r="W168" s="1"/>
      <c r="X168" s="1"/>
      <c r="Y168" s="1"/>
      <c r="Z168" s="1"/>
    </row>
    <row r="169" spans="1:26">
      <c r="A169" s="1"/>
      <c r="B169" s="10"/>
      <c r="C169" s="1"/>
      <c r="D169" s="1"/>
      <c r="E169" s="1"/>
      <c r="F169" s="58"/>
      <c r="G169" s="1"/>
      <c r="H169" s="1"/>
      <c r="I169" s="1"/>
      <c r="J169" s="1"/>
      <c r="K169" s="1"/>
      <c r="L169" s="1"/>
      <c r="M169" s="1"/>
      <c r="N169" s="1"/>
      <c r="O169" s="1"/>
      <c r="P169" s="1"/>
      <c r="Q169" s="1"/>
      <c r="R169" s="1"/>
      <c r="S169" s="1"/>
      <c r="T169" s="1"/>
      <c r="U169" s="1"/>
      <c r="V169" s="1"/>
      <c r="W169" s="1"/>
      <c r="X169" s="1"/>
      <c r="Y169" s="1"/>
      <c r="Z169" s="1"/>
    </row>
    <row r="170" spans="1:26">
      <c r="A170" s="1"/>
      <c r="B170" s="33" t="s">
        <v>136</v>
      </c>
      <c r="C170" s="19"/>
      <c r="D170" s="19"/>
      <c r="E170" s="19"/>
      <c r="F170" s="34">
        <f>IFERROR(VLOOKUP($C$2,Lookups!$A:$CR,86,0),0)</f>
        <v>0</v>
      </c>
      <c r="G170" s="1"/>
      <c r="H170" s="1"/>
      <c r="I170" s="1"/>
      <c r="J170" s="1"/>
      <c r="K170" s="1"/>
      <c r="L170" s="1"/>
      <c r="M170" s="1"/>
      <c r="N170" s="1"/>
      <c r="O170" s="1"/>
      <c r="P170" s="1"/>
      <c r="Q170" s="1"/>
      <c r="R170" s="1"/>
      <c r="S170" s="1"/>
      <c r="T170" s="1"/>
      <c r="U170" s="1"/>
      <c r="V170" s="1"/>
      <c r="W170" s="1"/>
      <c r="X170" s="1"/>
      <c r="Y170" s="1"/>
      <c r="Z170" s="1"/>
    </row>
    <row r="17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7" t="s">
        <v>137</v>
      </c>
      <c r="C172" s="8"/>
      <c r="D172" s="8"/>
      <c r="E172" s="8"/>
      <c r="F172" s="9"/>
      <c r="G172" s="1"/>
      <c r="H172" s="1"/>
      <c r="I172" s="1"/>
      <c r="J172" s="1"/>
      <c r="K172" s="1"/>
      <c r="L172" s="1"/>
      <c r="M172" s="1"/>
      <c r="N172" s="1"/>
      <c r="O172" s="1"/>
      <c r="P172" s="1"/>
      <c r="Q172" s="1"/>
      <c r="R172" s="1"/>
      <c r="S172" s="1"/>
      <c r="T172" s="1"/>
      <c r="U172" s="1"/>
      <c r="V172" s="1"/>
      <c r="W172" s="1"/>
      <c r="X172" s="1"/>
      <c r="Y172" s="1"/>
      <c r="Z172" s="1"/>
    </row>
    <row r="173" spans="1:26">
      <c r="A173" s="1"/>
      <c r="B173" s="10"/>
      <c r="C173" s="1"/>
      <c r="D173" s="1"/>
      <c r="E173" s="1"/>
      <c r="F173" s="58"/>
      <c r="G173" s="1"/>
      <c r="H173" s="1"/>
      <c r="I173" s="1"/>
      <c r="J173" s="1"/>
      <c r="K173" s="1"/>
      <c r="L173" s="1"/>
      <c r="M173" s="1"/>
      <c r="N173" s="1"/>
      <c r="O173" s="1"/>
      <c r="P173" s="1"/>
      <c r="Q173" s="1"/>
      <c r="R173" s="1"/>
      <c r="S173" s="1"/>
      <c r="T173" s="1"/>
      <c r="U173" s="1"/>
      <c r="V173" s="1"/>
      <c r="W173" s="1"/>
      <c r="X173" s="1"/>
      <c r="Y173" s="1"/>
      <c r="Z173" s="1"/>
    </row>
    <row r="174" spans="1:26">
      <c r="A174" s="1"/>
      <c r="B174" s="35" t="s">
        <v>105</v>
      </c>
      <c r="C174" s="1"/>
      <c r="D174" s="1"/>
      <c r="E174" s="1"/>
      <c r="F174" s="58"/>
      <c r="G174" s="1"/>
      <c r="H174" s="1"/>
      <c r="I174" s="1"/>
      <c r="J174" s="1"/>
      <c r="K174" s="1"/>
      <c r="L174" s="1"/>
      <c r="M174" s="1"/>
      <c r="N174" s="1"/>
      <c r="O174" s="1"/>
      <c r="P174" s="1"/>
      <c r="Q174" s="1"/>
      <c r="R174" s="1"/>
      <c r="S174" s="1"/>
      <c r="T174" s="1"/>
      <c r="U174" s="1"/>
      <c r="V174" s="1"/>
      <c r="W174" s="1"/>
      <c r="X174" s="1"/>
      <c r="Y174" s="1"/>
      <c r="Z174" s="1"/>
    </row>
    <row r="175" spans="1:26">
      <c r="A175" s="1"/>
      <c r="B175" s="10"/>
      <c r="C175" s="1"/>
      <c r="D175" s="1"/>
      <c r="E175" s="1"/>
      <c r="F175" s="58"/>
      <c r="G175" s="1"/>
      <c r="H175" s="1"/>
      <c r="I175" s="1"/>
      <c r="J175" s="1"/>
      <c r="K175" s="1"/>
      <c r="L175" s="1"/>
      <c r="M175" s="1"/>
      <c r="N175" s="1"/>
      <c r="O175" s="1"/>
      <c r="P175" s="1"/>
      <c r="Q175" s="1"/>
      <c r="R175" s="1"/>
      <c r="S175" s="1"/>
      <c r="T175" s="1"/>
      <c r="U175" s="1"/>
      <c r="V175" s="1"/>
      <c r="W175" s="1"/>
      <c r="X175" s="1"/>
      <c r="Y175" s="1"/>
      <c r="Z175" s="1"/>
    </row>
    <row r="176" spans="1:26">
      <c r="A176" s="1"/>
      <c r="B176" s="10" t="s">
        <v>138</v>
      </c>
      <c r="C176" s="1"/>
      <c r="D176" s="12">
        <f>IFERROR(VLOOKUP($C$2,Lookups!$A:$CR,87,0),0)</f>
        <v>0</v>
      </c>
      <c r="E176" s="1"/>
      <c r="F176" s="58"/>
      <c r="G176" s="1"/>
      <c r="H176" s="1"/>
      <c r="I176" s="1"/>
      <c r="J176" s="1"/>
      <c r="K176" s="1"/>
      <c r="L176" s="1"/>
      <c r="M176" s="1"/>
      <c r="N176" s="1"/>
      <c r="O176" s="1"/>
      <c r="P176" s="1"/>
      <c r="Q176" s="1"/>
      <c r="R176" s="1"/>
      <c r="S176" s="1"/>
      <c r="T176" s="1"/>
      <c r="U176" s="1"/>
      <c r="V176" s="1"/>
      <c r="W176" s="1"/>
      <c r="X176" s="1"/>
      <c r="Y176" s="1"/>
      <c r="Z176" s="1"/>
    </row>
    <row r="177" spans="1:26">
      <c r="A177" s="1"/>
      <c r="B177" s="10"/>
      <c r="C177" s="1"/>
      <c r="D177" s="1"/>
      <c r="E177" s="1"/>
      <c r="F177" s="58"/>
      <c r="G177" s="1"/>
      <c r="H177" s="1"/>
      <c r="I177" s="1"/>
      <c r="J177" s="1"/>
      <c r="K177" s="1"/>
      <c r="L177" s="1"/>
      <c r="M177" s="1"/>
      <c r="N177" s="1"/>
      <c r="O177" s="1"/>
      <c r="P177" s="1"/>
      <c r="Q177" s="1"/>
      <c r="R177" s="1"/>
      <c r="S177" s="1"/>
      <c r="T177" s="1"/>
      <c r="U177" s="1"/>
      <c r="V177" s="1"/>
      <c r="W177" s="1"/>
      <c r="X177" s="1"/>
      <c r="Y177" s="1"/>
      <c r="Z177" s="1"/>
    </row>
    <row r="178" spans="1:26">
      <c r="A178" s="1"/>
      <c r="B178" s="10" t="s">
        <v>139</v>
      </c>
      <c r="C178" s="1"/>
      <c r="D178" s="1"/>
      <c r="E178" s="1"/>
      <c r="F178" s="58"/>
      <c r="G178" s="1"/>
      <c r="H178" s="1"/>
      <c r="I178" s="1"/>
      <c r="J178" s="1"/>
      <c r="K178" s="1"/>
      <c r="L178" s="1"/>
      <c r="M178" s="1"/>
      <c r="N178" s="1"/>
      <c r="O178" s="1"/>
      <c r="P178" s="1"/>
      <c r="Q178" s="1"/>
      <c r="R178" s="1"/>
      <c r="S178" s="1"/>
      <c r="T178" s="1"/>
      <c r="U178" s="1"/>
      <c r="V178" s="1"/>
      <c r="W178" s="1"/>
      <c r="X178" s="1"/>
      <c r="Y178" s="1"/>
      <c r="Z178" s="1"/>
    </row>
    <row r="179" spans="1:26">
      <c r="A179" s="1"/>
      <c r="B179" s="10"/>
      <c r="C179" s="1"/>
      <c r="D179" s="1"/>
      <c r="E179" s="1"/>
      <c r="F179" s="58"/>
      <c r="G179" s="1"/>
      <c r="H179" s="1"/>
      <c r="I179" s="1"/>
      <c r="J179" s="1"/>
      <c r="K179" s="1"/>
      <c r="L179" s="1"/>
      <c r="M179" s="1"/>
      <c r="N179" s="1"/>
      <c r="O179" s="1"/>
      <c r="P179" s="1"/>
      <c r="Q179" s="1"/>
      <c r="R179" s="1"/>
      <c r="S179" s="1"/>
      <c r="T179" s="1"/>
      <c r="U179" s="1"/>
      <c r="V179" s="1"/>
      <c r="W179" s="1"/>
      <c r="X179" s="1"/>
      <c r="Y179" s="1"/>
      <c r="Z179" s="1"/>
    </row>
    <row r="180" spans="1:26">
      <c r="A180" s="1"/>
      <c r="B180" s="10" t="s">
        <v>29</v>
      </c>
      <c r="C180" s="1"/>
      <c r="D180" s="12">
        <f>IF(D181&gt;0,16000,0)</f>
        <v>0</v>
      </c>
      <c r="E180" s="1"/>
      <c r="F180" s="58"/>
      <c r="G180" s="1"/>
      <c r="H180" s="1"/>
      <c r="I180" s="1"/>
      <c r="J180" s="1"/>
      <c r="K180" s="1"/>
      <c r="L180" s="1"/>
      <c r="M180" s="1"/>
      <c r="N180" s="1"/>
      <c r="O180" s="1"/>
      <c r="P180" s="1"/>
      <c r="Q180" s="1"/>
      <c r="R180" s="1"/>
      <c r="S180" s="1"/>
      <c r="T180" s="1"/>
      <c r="U180" s="1"/>
      <c r="V180" s="1"/>
      <c r="W180" s="1"/>
      <c r="X180" s="1"/>
      <c r="Y180" s="1"/>
      <c r="Z180" s="1"/>
    </row>
    <row r="181" spans="1:26">
      <c r="A181" s="1"/>
      <c r="B181" s="10" t="s">
        <v>140</v>
      </c>
      <c r="C181" s="1"/>
      <c r="D181" s="12">
        <f>10*D12</f>
        <v>0</v>
      </c>
      <c r="E181" s="1"/>
      <c r="F181" s="58"/>
      <c r="G181" s="1"/>
      <c r="H181" s="1"/>
      <c r="I181" s="1"/>
      <c r="J181" s="1"/>
      <c r="K181" s="1"/>
      <c r="L181" s="1"/>
      <c r="M181" s="1"/>
      <c r="N181" s="1"/>
      <c r="O181" s="1"/>
      <c r="P181" s="1"/>
      <c r="Q181" s="1"/>
      <c r="R181" s="1"/>
      <c r="S181" s="1"/>
      <c r="T181" s="1"/>
      <c r="U181" s="1"/>
      <c r="V181" s="1"/>
      <c r="W181" s="1"/>
      <c r="X181" s="1"/>
      <c r="Y181" s="1"/>
      <c r="Z181" s="1"/>
    </row>
    <row r="182" spans="1:26">
      <c r="A182" s="1"/>
      <c r="B182" s="10" t="s">
        <v>141</v>
      </c>
      <c r="C182" s="1"/>
      <c r="D182" s="12">
        <f>D181+D180</f>
        <v>0</v>
      </c>
      <c r="E182" s="1"/>
      <c r="F182" s="58"/>
      <c r="G182" s="1"/>
      <c r="H182" s="1"/>
      <c r="I182" s="1"/>
      <c r="J182" s="1"/>
      <c r="K182" s="1"/>
      <c r="L182" s="1"/>
      <c r="M182" s="1"/>
      <c r="N182" s="1"/>
      <c r="O182" s="1"/>
      <c r="P182" s="1"/>
      <c r="Q182" s="1"/>
      <c r="R182" s="1"/>
      <c r="S182" s="1"/>
      <c r="T182" s="1"/>
      <c r="U182" s="1"/>
      <c r="V182" s="1"/>
      <c r="W182" s="1"/>
      <c r="X182" s="1"/>
      <c r="Y182" s="1"/>
      <c r="Z182" s="1"/>
    </row>
    <row r="183" spans="1:26">
      <c r="A183" s="1"/>
      <c r="B183" s="10" t="s">
        <v>142</v>
      </c>
      <c r="C183" s="1"/>
      <c r="D183" s="12">
        <f>D182*(7/12)</f>
        <v>0</v>
      </c>
      <c r="E183" s="1"/>
      <c r="F183" s="58"/>
      <c r="G183" s="1"/>
      <c r="H183" s="1"/>
      <c r="I183" s="1"/>
      <c r="J183" s="1"/>
      <c r="K183" s="1"/>
      <c r="L183" s="1"/>
      <c r="M183" s="1"/>
      <c r="N183" s="1"/>
      <c r="O183" s="1"/>
      <c r="P183" s="1"/>
      <c r="Q183" s="1"/>
      <c r="R183" s="1"/>
      <c r="S183" s="1"/>
      <c r="T183" s="1"/>
      <c r="U183" s="1"/>
      <c r="V183" s="1"/>
      <c r="W183" s="1"/>
      <c r="X183" s="1"/>
      <c r="Y183" s="1"/>
      <c r="Z183" s="1"/>
    </row>
    <row r="184" spans="1:26">
      <c r="A184" s="1"/>
      <c r="B184" s="10"/>
      <c r="C184" s="1"/>
      <c r="D184" s="1"/>
      <c r="E184" s="1"/>
      <c r="F184" s="58"/>
      <c r="G184" s="1"/>
      <c r="H184" s="1"/>
      <c r="I184" s="1"/>
      <c r="J184" s="1"/>
      <c r="K184" s="1"/>
      <c r="L184" s="1"/>
      <c r="M184" s="1"/>
      <c r="N184" s="1"/>
      <c r="O184" s="1"/>
      <c r="P184" s="1"/>
      <c r="Q184" s="1"/>
      <c r="R184" s="1"/>
      <c r="S184" s="1"/>
      <c r="T184" s="1"/>
      <c r="U184" s="1"/>
      <c r="V184" s="1"/>
      <c r="W184" s="1"/>
      <c r="X184" s="1"/>
      <c r="Y184" s="1"/>
      <c r="Z184" s="1"/>
    </row>
    <row r="185" spans="1:26">
      <c r="A185" s="1"/>
      <c r="B185" s="33" t="s">
        <v>136</v>
      </c>
      <c r="C185" s="19"/>
      <c r="D185" s="19"/>
      <c r="E185" s="19"/>
      <c r="F185" s="34">
        <f>D183+D176</f>
        <v>0</v>
      </c>
      <c r="G185" s="1"/>
      <c r="H185" s="1"/>
      <c r="I185" s="1"/>
      <c r="J185" s="1"/>
      <c r="K185" s="1"/>
      <c r="L185" s="1"/>
      <c r="M185" s="1"/>
      <c r="N185" s="1"/>
      <c r="O185" s="1"/>
      <c r="P185" s="1"/>
      <c r="Q185" s="1"/>
      <c r="R185" s="1"/>
      <c r="S185" s="1"/>
      <c r="T185" s="1"/>
      <c r="U185" s="1"/>
      <c r="V185" s="1"/>
      <c r="W185" s="1"/>
      <c r="X185" s="1"/>
      <c r="Y185" s="1"/>
      <c r="Z185" s="1"/>
    </row>
    <row r="186"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7" t="s">
        <v>143</v>
      </c>
      <c r="C187" s="8" t="s">
        <v>144</v>
      </c>
      <c r="D187" s="8"/>
      <c r="E187" s="8"/>
      <c r="F187" s="43">
        <v>0</v>
      </c>
      <c r="G187" s="1"/>
      <c r="H187" s="1"/>
      <c r="I187" s="1"/>
      <c r="J187" s="1"/>
      <c r="K187" s="1"/>
      <c r="L187" s="1"/>
      <c r="M187" s="1"/>
      <c r="N187" s="1"/>
      <c r="O187" s="1"/>
      <c r="P187" s="1"/>
      <c r="Q187" s="1"/>
      <c r="R187" s="1"/>
      <c r="S187" s="1"/>
      <c r="T187" s="1"/>
      <c r="U187" s="1"/>
      <c r="V187" s="1"/>
      <c r="W187" s="1"/>
      <c r="X187" s="1"/>
      <c r="Y187" s="1"/>
      <c r="Z187" s="1"/>
    </row>
    <row r="188" spans="1:26">
      <c r="A188" s="1"/>
      <c r="B188" s="7" t="s">
        <v>145</v>
      </c>
      <c r="C188" s="8" t="s">
        <v>144</v>
      </c>
      <c r="D188" s="8"/>
      <c r="E188" s="8"/>
      <c r="F188" s="39">
        <v>0</v>
      </c>
      <c r="G188" s="1"/>
      <c r="H188" s="1"/>
      <c r="I188" s="1"/>
      <c r="J188" s="1"/>
      <c r="K188" s="1"/>
      <c r="L188" s="1"/>
      <c r="M188" s="1"/>
      <c r="N188" s="1"/>
      <c r="O188" s="1"/>
      <c r="P188" s="1"/>
      <c r="Q188" s="1"/>
      <c r="R188" s="1"/>
      <c r="S188" s="1"/>
      <c r="T188" s="1"/>
      <c r="U188" s="1"/>
      <c r="V188" s="1"/>
      <c r="W188" s="1"/>
      <c r="X188" s="1"/>
      <c r="Y188" s="1"/>
      <c r="Z188" s="1"/>
    </row>
    <row r="189" spans="1:26">
      <c r="A189" s="1"/>
      <c r="B189" s="67" t="s">
        <v>105</v>
      </c>
      <c r="C189" s="19"/>
      <c r="D189" s="19"/>
      <c r="E189" s="19"/>
      <c r="F189" s="21"/>
      <c r="G189" s="1"/>
      <c r="H189" s="1"/>
      <c r="I189" s="1"/>
      <c r="J189" s="1"/>
      <c r="K189" s="1"/>
      <c r="L189" s="1"/>
      <c r="M189" s="1"/>
      <c r="N189" s="1"/>
      <c r="O189" s="1"/>
      <c r="P189" s="1"/>
      <c r="Q189" s="1"/>
      <c r="R189" s="1"/>
      <c r="S189" s="1"/>
      <c r="T189" s="1"/>
      <c r="U189" s="1"/>
      <c r="V189" s="1"/>
      <c r="W189" s="1"/>
      <c r="X189" s="1"/>
      <c r="Y189" s="1"/>
      <c r="Z189" s="1"/>
    </row>
    <row r="190"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7" t="s">
        <v>146</v>
      </c>
      <c r="C191" s="8"/>
      <c r="D191" s="8"/>
      <c r="E191" s="8"/>
      <c r="F191" s="9"/>
      <c r="G191" s="1"/>
      <c r="H191" s="1"/>
      <c r="I191" s="1"/>
      <c r="J191" s="1"/>
      <c r="K191" s="1"/>
      <c r="L191" s="1"/>
      <c r="M191" s="1"/>
      <c r="N191" s="1"/>
      <c r="O191" s="1"/>
      <c r="P191" s="1"/>
      <c r="Q191" s="1"/>
      <c r="R191" s="1"/>
      <c r="S191" s="1"/>
      <c r="T191" s="1"/>
      <c r="U191" s="1"/>
      <c r="V191" s="1"/>
      <c r="W191" s="1"/>
      <c r="X191" s="1"/>
      <c r="Y191" s="1"/>
      <c r="Z191" s="1"/>
    </row>
    <row r="192" spans="1:26">
      <c r="A192" s="1"/>
      <c r="B192" s="10"/>
      <c r="C192" s="1"/>
      <c r="D192" s="1"/>
      <c r="E192" s="1"/>
      <c r="F192" s="58"/>
      <c r="G192" s="1"/>
      <c r="H192" s="1"/>
      <c r="I192" s="1"/>
      <c r="J192" s="1"/>
      <c r="K192" s="1"/>
      <c r="L192" s="1"/>
      <c r="M192" s="1"/>
      <c r="N192" s="1"/>
      <c r="O192" s="1"/>
      <c r="P192" s="1"/>
      <c r="Q192" s="1"/>
      <c r="R192" s="1"/>
      <c r="S192" s="1"/>
      <c r="T192" s="1"/>
      <c r="U192" s="1"/>
      <c r="V192" s="1"/>
      <c r="W192" s="1"/>
      <c r="X192" s="1"/>
      <c r="Y192" s="1"/>
      <c r="Z192" s="1"/>
    </row>
    <row r="193" spans="1:26">
      <c r="A193" s="1"/>
      <c r="B193" s="10" t="s">
        <v>147</v>
      </c>
      <c r="C193" s="44"/>
      <c r="D193" s="1"/>
      <c r="E193" s="1"/>
      <c r="F193" s="68"/>
      <c r="G193" s="1"/>
      <c r="H193" s="1"/>
      <c r="I193" s="1"/>
      <c r="J193" s="1"/>
      <c r="K193" s="1"/>
      <c r="L193" s="1"/>
      <c r="M193" s="1"/>
      <c r="N193" s="1"/>
      <c r="O193" s="1"/>
      <c r="P193" s="1"/>
      <c r="Q193" s="1"/>
      <c r="R193" s="1"/>
      <c r="S193" s="1"/>
      <c r="T193" s="1"/>
      <c r="U193" s="1"/>
      <c r="V193" s="1"/>
      <c r="W193" s="1"/>
      <c r="X193" s="1"/>
      <c r="Y193" s="1"/>
      <c r="Z193" s="1"/>
    </row>
    <row r="194" spans="1:26">
      <c r="A194" s="1"/>
      <c r="B194" s="10" t="s">
        <v>148</v>
      </c>
      <c r="C194" s="44"/>
      <c r="D194" s="1"/>
      <c r="E194" s="1"/>
      <c r="F194" s="68"/>
      <c r="G194" s="1"/>
      <c r="H194" s="1"/>
      <c r="I194" s="1"/>
      <c r="J194" s="1"/>
      <c r="K194" s="1"/>
      <c r="L194" s="1"/>
      <c r="M194" s="1"/>
      <c r="N194" s="1"/>
      <c r="O194" s="1"/>
      <c r="P194" s="1"/>
      <c r="Q194" s="1"/>
      <c r="R194" s="1"/>
      <c r="S194" s="1"/>
      <c r="T194" s="1"/>
      <c r="U194" s="1"/>
      <c r="V194" s="1"/>
      <c r="W194" s="1"/>
      <c r="X194" s="1"/>
      <c r="Y194" s="1"/>
      <c r="Z194" s="1"/>
    </row>
    <row r="195" spans="1:26">
      <c r="A195" s="1"/>
      <c r="B195" s="10" t="s">
        <v>149</v>
      </c>
      <c r="C195" s="44"/>
      <c r="D195" s="1"/>
      <c r="E195" s="1"/>
      <c r="F195" s="68"/>
      <c r="G195" s="1"/>
      <c r="H195" s="1"/>
      <c r="I195" s="1"/>
      <c r="J195" s="1"/>
      <c r="K195" s="1"/>
      <c r="L195" s="1"/>
      <c r="M195" s="1"/>
      <c r="N195" s="1"/>
      <c r="O195" s="1"/>
      <c r="P195" s="1"/>
      <c r="Q195" s="1"/>
      <c r="R195" s="1"/>
      <c r="S195" s="1"/>
      <c r="T195" s="1"/>
      <c r="U195" s="1"/>
      <c r="V195" s="1"/>
      <c r="W195" s="1"/>
      <c r="X195" s="1"/>
      <c r="Y195" s="1"/>
      <c r="Z195" s="1"/>
    </row>
    <row r="196" spans="1:26">
      <c r="A196" s="1"/>
      <c r="B196" s="10" t="s">
        <v>150</v>
      </c>
      <c r="C196" s="44"/>
      <c r="D196" s="1"/>
      <c r="E196" s="1"/>
      <c r="F196" s="68"/>
      <c r="G196" s="1"/>
      <c r="H196" s="1"/>
      <c r="I196" s="1"/>
      <c r="J196" s="1"/>
      <c r="K196" s="1"/>
      <c r="L196" s="1"/>
      <c r="M196" s="1"/>
      <c r="N196" s="1"/>
      <c r="O196" s="1"/>
      <c r="P196" s="1"/>
      <c r="Q196" s="1"/>
      <c r="R196" s="1"/>
      <c r="S196" s="1"/>
      <c r="T196" s="1"/>
      <c r="U196" s="1"/>
      <c r="V196" s="1"/>
      <c r="W196" s="1"/>
      <c r="X196" s="1"/>
      <c r="Y196" s="1"/>
      <c r="Z196" s="1"/>
    </row>
    <row r="197" spans="1:26">
      <c r="A197" s="1"/>
      <c r="B197" s="10"/>
      <c r="C197" s="44"/>
      <c r="D197" s="1"/>
      <c r="E197" s="1"/>
      <c r="F197" s="68"/>
      <c r="G197" s="1"/>
      <c r="H197" s="1"/>
      <c r="I197" s="1"/>
      <c r="J197" s="1"/>
      <c r="K197" s="1"/>
      <c r="L197" s="1"/>
      <c r="M197" s="1"/>
      <c r="N197" s="1"/>
      <c r="O197" s="1"/>
      <c r="P197" s="1"/>
      <c r="Q197" s="1"/>
      <c r="R197" s="1"/>
      <c r="S197" s="1"/>
      <c r="T197" s="1"/>
      <c r="U197" s="1"/>
      <c r="V197" s="1"/>
      <c r="W197" s="1"/>
      <c r="X197" s="1"/>
      <c r="Y197" s="1"/>
      <c r="Z197" s="1"/>
    </row>
    <row r="198" spans="1:26">
      <c r="A198" s="1"/>
      <c r="B198" s="10" t="s">
        <v>151</v>
      </c>
      <c r="C198" s="44" t="s">
        <v>152</v>
      </c>
      <c r="D198" s="1"/>
      <c r="E198" s="1"/>
      <c r="F198" s="68">
        <f>SUM(D12:D14)</f>
        <v>0</v>
      </c>
      <c r="G198" s="1"/>
      <c r="H198" s="1"/>
      <c r="I198" s="1"/>
      <c r="J198" s="1"/>
      <c r="K198" s="1"/>
      <c r="L198" s="1"/>
      <c r="M198" s="1"/>
      <c r="N198" s="1"/>
      <c r="O198" s="1"/>
      <c r="P198" s="1"/>
      <c r="Q198" s="1"/>
      <c r="R198" s="1"/>
      <c r="S198" s="1"/>
      <c r="T198" s="1"/>
      <c r="U198" s="1"/>
      <c r="V198" s="1"/>
      <c r="W198" s="1"/>
      <c r="X198" s="1"/>
      <c r="Y198" s="1"/>
      <c r="Z198" s="1"/>
    </row>
    <row r="199" spans="1:26">
      <c r="A199" s="1"/>
      <c r="B199" s="10" t="s">
        <v>153</v>
      </c>
      <c r="C199" s="44" t="s">
        <v>154</v>
      </c>
      <c r="D199" s="1"/>
      <c r="E199" s="1"/>
      <c r="F199" s="45">
        <f>F198</f>
        <v>0</v>
      </c>
      <c r="G199" s="1"/>
      <c r="H199" s="1"/>
      <c r="I199" s="1"/>
      <c r="J199" s="1"/>
      <c r="K199" s="1"/>
      <c r="L199" s="1"/>
      <c r="M199" s="1"/>
      <c r="N199" s="1"/>
      <c r="O199" s="1"/>
      <c r="P199" s="1"/>
      <c r="Q199" s="1"/>
      <c r="R199" s="1"/>
      <c r="S199" s="1"/>
      <c r="T199" s="1"/>
      <c r="U199" s="1"/>
      <c r="V199" s="1"/>
      <c r="W199" s="1"/>
      <c r="X199" s="1"/>
      <c r="Y199" s="1"/>
      <c r="Z199" s="1"/>
    </row>
    <row r="200" spans="1:26">
      <c r="A200" s="1"/>
      <c r="B200" s="10" t="s">
        <v>155</v>
      </c>
      <c r="C200" s="44" t="s">
        <v>154</v>
      </c>
      <c r="D200" s="1"/>
      <c r="E200" s="1"/>
      <c r="F200" s="45">
        <f>F198</f>
        <v>0</v>
      </c>
      <c r="G200" s="1"/>
      <c r="H200" s="1"/>
      <c r="I200" s="1"/>
      <c r="J200" s="1"/>
      <c r="K200" s="1"/>
      <c r="L200" s="1"/>
      <c r="M200" s="1"/>
      <c r="N200" s="1"/>
      <c r="O200" s="1"/>
      <c r="P200" s="1"/>
      <c r="Q200" s="1"/>
      <c r="R200" s="1"/>
      <c r="S200" s="1"/>
      <c r="T200" s="1"/>
      <c r="U200" s="1"/>
      <c r="V200" s="1"/>
      <c r="W200" s="1"/>
      <c r="X200" s="1"/>
      <c r="Y200" s="1"/>
      <c r="Z200" s="1"/>
    </row>
    <row r="201" spans="1:26">
      <c r="A201" s="1"/>
      <c r="B201" s="10"/>
      <c r="C201" s="46"/>
      <c r="D201" s="1"/>
      <c r="E201" s="1"/>
      <c r="F201" s="58"/>
      <c r="G201" s="1"/>
      <c r="H201" s="1"/>
      <c r="I201" s="1"/>
      <c r="J201" s="1"/>
      <c r="K201" s="1"/>
      <c r="L201" s="1"/>
      <c r="M201" s="1"/>
      <c r="N201" s="1"/>
      <c r="O201" s="1"/>
      <c r="P201" s="1"/>
      <c r="Q201" s="1"/>
      <c r="R201" s="1"/>
      <c r="S201" s="1"/>
      <c r="T201" s="1"/>
      <c r="U201" s="1"/>
      <c r="V201" s="1"/>
      <c r="W201" s="1"/>
      <c r="X201" s="1"/>
      <c r="Y201" s="1"/>
      <c r="Z201" s="1"/>
    </row>
    <row r="202" spans="1:26">
      <c r="A202" s="1"/>
      <c r="B202" s="10" t="s">
        <v>156</v>
      </c>
      <c r="C202" s="44" t="s">
        <v>157</v>
      </c>
      <c r="D202" s="1"/>
      <c r="E202" s="1"/>
      <c r="F202" s="47">
        <v>5.0000000000000001E-3</v>
      </c>
      <c r="G202" s="1"/>
      <c r="H202" s="48">
        <f t="shared" ref="H202:H203" si="7">1+F202</f>
        <v>1.0049999999999999</v>
      </c>
      <c r="I202" s="1"/>
      <c r="J202" s="1"/>
      <c r="K202" s="1"/>
      <c r="L202" s="1"/>
      <c r="M202" s="1"/>
      <c r="N202" s="1"/>
      <c r="O202" s="1"/>
      <c r="P202" s="1"/>
      <c r="Q202" s="1"/>
      <c r="R202" s="1"/>
      <c r="S202" s="1"/>
      <c r="T202" s="1"/>
      <c r="U202" s="1"/>
      <c r="V202" s="1"/>
      <c r="W202" s="1"/>
      <c r="X202" s="1"/>
      <c r="Y202" s="1"/>
      <c r="Z202" s="1"/>
    </row>
    <row r="203" spans="1:26">
      <c r="A203" s="1"/>
      <c r="B203" s="10" t="s">
        <v>158</v>
      </c>
      <c r="C203" s="44" t="s">
        <v>157</v>
      </c>
      <c r="D203" s="1"/>
      <c r="E203" s="1"/>
      <c r="F203" s="47">
        <v>5.0000000000000001E-3</v>
      </c>
      <c r="G203" s="1"/>
      <c r="H203" s="48">
        <f t="shared" si="7"/>
        <v>1.0049999999999999</v>
      </c>
      <c r="I203" s="1"/>
      <c r="J203" s="1"/>
      <c r="K203" s="1"/>
      <c r="L203" s="1"/>
      <c r="M203" s="1"/>
      <c r="N203" s="1"/>
      <c r="O203" s="1"/>
      <c r="P203" s="1"/>
      <c r="Q203" s="1"/>
      <c r="R203" s="1"/>
      <c r="S203" s="1"/>
      <c r="T203" s="1"/>
      <c r="U203" s="1"/>
      <c r="V203" s="1"/>
      <c r="W203" s="1"/>
      <c r="X203" s="1"/>
      <c r="Y203" s="1"/>
      <c r="Z203" s="1"/>
    </row>
    <row r="204" spans="1:26">
      <c r="A204" s="1"/>
      <c r="B204" s="10"/>
      <c r="C204" s="44"/>
      <c r="D204" s="1"/>
      <c r="E204" s="1"/>
      <c r="F204" s="58"/>
      <c r="G204" s="1"/>
      <c r="H204" s="1"/>
      <c r="I204" s="1"/>
      <c r="J204" s="1"/>
      <c r="K204" s="1"/>
      <c r="L204" s="1"/>
      <c r="M204" s="1"/>
      <c r="N204" s="1"/>
      <c r="O204" s="1"/>
      <c r="P204" s="1"/>
      <c r="Q204" s="1"/>
      <c r="R204" s="1"/>
      <c r="S204" s="1"/>
      <c r="T204" s="1"/>
      <c r="U204" s="1"/>
      <c r="V204" s="1"/>
      <c r="W204" s="1"/>
      <c r="X204" s="1"/>
      <c r="Y204" s="1"/>
      <c r="Z204" s="1"/>
    </row>
    <row r="205" spans="1:26">
      <c r="A205" s="1"/>
      <c r="B205" s="10" t="s">
        <v>159</v>
      </c>
      <c r="C205" s="44" t="s">
        <v>160</v>
      </c>
      <c r="D205" s="1"/>
      <c r="E205" s="1"/>
      <c r="F205" s="69">
        <v>0.03</v>
      </c>
      <c r="G205" s="1"/>
      <c r="H205" s="1"/>
      <c r="I205" s="1"/>
      <c r="J205" s="1"/>
      <c r="K205" s="1"/>
      <c r="L205" s="1"/>
      <c r="M205" s="1"/>
      <c r="N205" s="1"/>
      <c r="O205" s="1"/>
      <c r="P205" s="1"/>
      <c r="Q205" s="1"/>
      <c r="R205" s="1"/>
      <c r="S205" s="1"/>
      <c r="T205" s="1"/>
      <c r="U205" s="1"/>
      <c r="V205" s="1"/>
      <c r="W205" s="1"/>
      <c r="X205" s="1"/>
      <c r="Y205" s="1"/>
      <c r="Z205" s="1"/>
    </row>
    <row r="206" spans="1:26">
      <c r="A206" s="1"/>
      <c r="B206" s="10" t="s">
        <v>161</v>
      </c>
      <c r="C206" s="44" t="s">
        <v>162</v>
      </c>
      <c r="D206" s="1"/>
      <c r="E206" s="1"/>
      <c r="F206" s="69">
        <v>0</v>
      </c>
      <c r="G206" s="1"/>
      <c r="H206" s="1"/>
      <c r="I206" s="1"/>
      <c r="J206" s="1"/>
      <c r="K206" s="1"/>
      <c r="L206" s="1"/>
      <c r="M206" s="1"/>
      <c r="N206" s="1"/>
      <c r="O206" s="1"/>
      <c r="P206" s="1"/>
      <c r="Q206" s="1"/>
      <c r="R206" s="1"/>
      <c r="S206" s="1"/>
      <c r="T206" s="1"/>
      <c r="U206" s="1"/>
      <c r="V206" s="1"/>
      <c r="W206" s="1"/>
      <c r="X206" s="1"/>
      <c r="Y206" s="1"/>
      <c r="Z206" s="1"/>
    </row>
    <row r="207" spans="1:26">
      <c r="A207" s="1"/>
      <c r="B207" s="10"/>
      <c r="C207" s="1"/>
      <c r="D207" s="1"/>
      <c r="E207" s="1"/>
      <c r="F207" s="58"/>
      <c r="G207" s="1"/>
      <c r="H207" s="1"/>
      <c r="I207" s="1"/>
      <c r="J207" s="1"/>
      <c r="K207" s="1"/>
      <c r="L207" s="1"/>
      <c r="M207" s="1"/>
      <c r="N207" s="1"/>
      <c r="O207" s="1"/>
      <c r="P207" s="1"/>
      <c r="Q207" s="1"/>
      <c r="R207" s="1"/>
      <c r="S207" s="1"/>
      <c r="T207" s="1"/>
      <c r="U207" s="1"/>
      <c r="V207" s="1"/>
      <c r="W207" s="1"/>
      <c r="X207" s="1"/>
      <c r="Y207" s="1"/>
      <c r="Z207" s="1"/>
    </row>
    <row r="208" spans="1:26">
      <c r="A208" s="1"/>
      <c r="B208" s="11" t="s">
        <v>163</v>
      </c>
      <c r="C208" s="1"/>
      <c r="D208" s="1"/>
      <c r="E208" s="1"/>
      <c r="F208" s="58"/>
      <c r="G208" s="1"/>
      <c r="H208" s="1"/>
      <c r="I208" s="1"/>
      <c r="J208" s="1"/>
      <c r="K208" s="1"/>
      <c r="L208" s="1"/>
      <c r="M208" s="1"/>
      <c r="N208" s="1"/>
      <c r="O208" s="1"/>
      <c r="P208" s="1"/>
      <c r="Q208" s="1"/>
      <c r="R208" s="1"/>
      <c r="S208" s="1"/>
      <c r="T208" s="1"/>
      <c r="U208" s="1"/>
      <c r="V208" s="1"/>
      <c r="W208" s="1"/>
      <c r="X208" s="1"/>
      <c r="Y208" s="1"/>
      <c r="Z208" s="1"/>
    </row>
    <row r="209" spans="1:26">
      <c r="A209" s="1"/>
      <c r="B209" s="10"/>
      <c r="C209" s="1"/>
      <c r="D209" s="1"/>
      <c r="E209" s="1"/>
      <c r="F209" s="58"/>
      <c r="G209" s="1"/>
      <c r="H209" s="1"/>
      <c r="I209" s="1"/>
      <c r="J209" s="1"/>
      <c r="K209" s="1"/>
      <c r="L209" s="1"/>
      <c r="M209" s="1"/>
      <c r="N209" s="1"/>
      <c r="O209" s="1"/>
      <c r="P209" s="1"/>
      <c r="Q209" s="1"/>
      <c r="R209" s="1"/>
      <c r="S209" s="1"/>
      <c r="T209" s="1"/>
      <c r="U209" s="1"/>
      <c r="V209" s="1"/>
      <c r="W209" s="1"/>
      <c r="X209" s="1"/>
      <c r="Y209" s="1"/>
      <c r="Z209" s="1"/>
    </row>
    <row r="210" spans="1:26">
      <c r="A210" s="1"/>
      <c r="B210" s="10" t="s">
        <v>164</v>
      </c>
      <c r="C210" s="1"/>
      <c r="D210" s="1"/>
      <c r="E210" s="1"/>
      <c r="F210" s="60">
        <f>F33</f>
        <v>0</v>
      </c>
      <c r="G210" s="1"/>
      <c r="H210" s="49" t="s">
        <v>42</v>
      </c>
      <c r="I210" s="50"/>
      <c r="J210" s="1"/>
      <c r="K210" s="1"/>
      <c r="L210" s="1"/>
      <c r="M210" s="1"/>
      <c r="N210" s="1"/>
      <c r="O210" s="1"/>
      <c r="P210" s="1"/>
      <c r="Q210" s="1"/>
      <c r="R210" s="1"/>
      <c r="S210" s="1"/>
      <c r="T210" s="1"/>
      <c r="U210" s="1"/>
      <c r="V210" s="1"/>
      <c r="W210" s="1"/>
      <c r="X210" s="1"/>
      <c r="Y210" s="1"/>
      <c r="Z210" s="1"/>
    </row>
    <row r="211" spans="1:26">
      <c r="A211" s="1"/>
      <c r="B211" s="10" t="s">
        <v>165</v>
      </c>
      <c r="C211" s="1"/>
      <c r="D211" s="1"/>
      <c r="E211" s="1"/>
      <c r="F211" s="60">
        <f>F106</f>
        <v>0</v>
      </c>
      <c r="G211" s="1"/>
      <c r="H211" s="23" t="s">
        <v>44</v>
      </c>
      <c r="I211" s="62"/>
      <c r="J211" s="1"/>
      <c r="K211" s="1"/>
      <c r="L211" s="1"/>
      <c r="M211" s="1"/>
      <c r="N211" s="1"/>
      <c r="O211" s="1"/>
      <c r="P211" s="1"/>
      <c r="Q211" s="1"/>
      <c r="R211" s="1"/>
      <c r="S211" s="1"/>
      <c r="T211" s="1"/>
      <c r="U211" s="1"/>
      <c r="V211" s="1"/>
      <c r="W211" s="1"/>
      <c r="X211" s="1"/>
      <c r="Y211" s="1"/>
      <c r="Z211" s="1"/>
    </row>
    <row r="212" spans="1:26">
      <c r="A212" s="1"/>
      <c r="B212" s="10" t="s">
        <v>65</v>
      </c>
      <c r="C212" s="1"/>
      <c r="D212" s="1"/>
      <c r="E212" s="1"/>
      <c r="F212" s="60">
        <f>F27</f>
        <v>0</v>
      </c>
      <c r="G212" s="1"/>
      <c r="H212" s="23" t="s">
        <v>46</v>
      </c>
      <c r="I212" s="62"/>
      <c r="J212" s="1"/>
      <c r="K212" s="1"/>
      <c r="L212" s="1"/>
      <c r="M212" s="1"/>
      <c r="N212" s="1"/>
      <c r="O212" s="1"/>
      <c r="P212" s="1"/>
      <c r="Q212" s="1"/>
      <c r="R212" s="1"/>
      <c r="S212" s="1"/>
      <c r="T212" s="1"/>
      <c r="U212" s="1"/>
      <c r="V212" s="1"/>
      <c r="W212" s="1"/>
      <c r="X212" s="1"/>
      <c r="Y212" s="1"/>
      <c r="Z212" s="1"/>
    </row>
    <row r="213" spans="1:26">
      <c r="A213" s="1"/>
      <c r="B213" s="10" t="s">
        <v>166</v>
      </c>
      <c r="C213" s="1"/>
      <c r="D213" s="1"/>
      <c r="E213" s="1"/>
      <c r="F213" s="60">
        <f>F26*1.03</f>
        <v>0</v>
      </c>
      <c r="G213" s="1"/>
      <c r="H213" s="23" t="s">
        <v>48</v>
      </c>
      <c r="I213" s="62"/>
      <c r="J213" s="1"/>
      <c r="K213" s="1"/>
      <c r="L213" s="1"/>
      <c r="M213" s="1"/>
      <c r="N213" s="1"/>
      <c r="O213" s="1"/>
      <c r="P213" s="1"/>
      <c r="Q213" s="1"/>
      <c r="R213" s="1"/>
      <c r="S213" s="1"/>
      <c r="T213" s="1"/>
      <c r="U213" s="1"/>
      <c r="V213" s="1"/>
      <c r="W213" s="1"/>
      <c r="X213" s="1"/>
      <c r="Y213" s="1"/>
      <c r="Z213" s="1"/>
    </row>
    <row r="214" spans="1:26">
      <c r="A214" s="1"/>
      <c r="B214" s="10" t="s">
        <v>167</v>
      </c>
      <c r="C214" s="1"/>
      <c r="D214" s="1"/>
      <c r="E214" s="1"/>
      <c r="F214" s="60">
        <f>F210+F211-F212-F213</f>
        <v>0</v>
      </c>
      <c r="G214" s="1"/>
      <c r="H214" s="23" t="s">
        <v>50</v>
      </c>
      <c r="I214" s="63" t="s">
        <v>51</v>
      </c>
      <c r="J214" s="1"/>
      <c r="K214" s="1"/>
      <c r="L214" s="1"/>
      <c r="M214" s="1"/>
      <c r="N214" s="1"/>
      <c r="O214" s="1"/>
      <c r="P214" s="1"/>
      <c r="Q214" s="1"/>
      <c r="R214" s="1"/>
      <c r="S214" s="1"/>
      <c r="T214" s="1"/>
      <c r="U214" s="1"/>
      <c r="V214" s="1"/>
      <c r="W214" s="1"/>
      <c r="X214" s="1"/>
      <c r="Y214" s="1"/>
      <c r="Z214" s="1"/>
    </row>
    <row r="215" spans="1:26">
      <c r="A215" s="1"/>
      <c r="B215" s="10" t="s">
        <v>60</v>
      </c>
      <c r="C215" s="1"/>
      <c r="D215" s="1"/>
      <c r="E215" s="1"/>
      <c r="F215" s="24">
        <f>F198</f>
        <v>0</v>
      </c>
      <c r="G215" s="1"/>
      <c r="H215" s="23" t="s">
        <v>53</v>
      </c>
      <c r="I215" s="62"/>
      <c r="J215" s="1"/>
      <c r="K215" s="1"/>
      <c r="L215" s="1"/>
      <c r="M215" s="1"/>
      <c r="N215" s="1"/>
      <c r="O215" s="1"/>
      <c r="P215" s="1"/>
      <c r="Q215" s="1"/>
      <c r="R215" s="1"/>
      <c r="S215" s="1"/>
      <c r="T215" s="1"/>
      <c r="U215" s="1"/>
      <c r="V215" s="1"/>
      <c r="W215" s="1"/>
      <c r="X215" s="1"/>
      <c r="Y215" s="1"/>
      <c r="Z215" s="1"/>
    </row>
    <row r="216" spans="1:26">
      <c r="A216" s="1"/>
      <c r="B216" s="10" t="s">
        <v>168</v>
      </c>
      <c r="C216" s="1"/>
      <c r="D216" s="1"/>
      <c r="E216" s="1"/>
      <c r="F216" s="60">
        <f>IFERROR(F214/F215,0)</f>
        <v>0</v>
      </c>
      <c r="G216" s="1"/>
      <c r="H216" s="23" t="s">
        <v>55</v>
      </c>
      <c r="I216" s="63" t="s">
        <v>56</v>
      </c>
      <c r="J216" s="1"/>
      <c r="K216" s="1"/>
      <c r="L216" s="1"/>
      <c r="M216" s="1"/>
      <c r="N216" s="1"/>
      <c r="O216" s="1"/>
      <c r="P216" s="1"/>
      <c r="Q216" s="1"/>
      <c r="R216" s="1"/>
      <c r="S216" s="1"/>
      <c r="T216" s="1"/>
      <c r="U216" s="1"/>
      <c r="V216" s="1"/>
      <c r="W216" s="1"/>
      <c r="X216" s="1"/>
      <c r="Y216" s="1"/>
      <c r="Z216" s="1"/>
    </row>
    <row r="217" spans="1:26">
      <c r="A217" s="1"/>
      <c r="B217" s="10" t="s">
        <v>169</v>
      </c>
      <c r="C217" s="1"/>
      <c r="D217" s="1"/>
      <c r="E217" s="1"/>
      <c r="F217" s="60">
        <f>F216*H202</f>
        <v>0</v>
      </c>
      <c r="G217" s="1"/>
      <c r="H217" s="23" t="s">
        <v>58</v>
      </c>
      <c r="I217" s="62" t="str">
        <f>"G*"&amp;H202</f>
        <v>G*1.005</v>
      </c>
      <c r="J217" s="1"/>
      <c r="K217" s="1"/>
      <c r="L217" s="1"/>
      <c r="M217" s="1"/>
      <c r="N217" s="1"/>
      <c r="O217" s="1"/>
      <c r="P217" s="1"/>
      <c r="Q217" s="1"/>
      <c r="R217" s="1"/>
      <c r="S217" s="1"/>
      <c r="T217" s="1"/>
      <c r="U217" s="1"/>
      <c r="V217" s="1"/>
      <c r="W217" s="1"/>
      <c r="X217" s="1"/>
      <c r="Y217" s="1"/>
      <c r="Z217" s="1"/>
    </row>
    <row r="218" spans="1:26">
      <c r="A218" s="1"/>
      <c r="B218" s="10" t="s">
        <v>170</v>
      </c>
      <c r="C218" s="1"/>
      <c r="D218" s="1"/>
      <c r="E218" s="1"/>
      <c r="F218" s="24">
        <f>F199</f>
        <v>0</v>
      </c>
      <c r="G218" s="1"/>
      <c r="H218" s="23" t="s">
        <v>61</v>
      </c>
      <c r="I218" s="62"/>
      <c r="J218" s="1"/>
      <c r="K218" s="1"/>
      <c r="L218" s="1"/>
      <c r="M218" s="1"/>
      <c r="N218" s="1"/>
      <c r="O218" s="1"/>
      <c r="P218" s="1"/>
      <c r="Q218" s="1"/>
      <c r="R218" s="1"/>
      <c r="S218" s="1"/>
      <c r="T218" s="1"/>
      <c r="U218" s="1"/>
      <c r="V218" s="1"/>
      <c r="W218" s="1"/>
      <c r="X218" s="1"/>
      <c r="Y218" s="1"/>
      <c r="Z218" s="1"/>
    </row>
    <row r="219" spans="1:26">
      <c r="A219" s="1"/>
      <c r="B219" s="10" t="s">
        <v>171</v>
      </c>
      <c r="C219" s="1"/>
      <c r="D219" s="1"/>
      <c r="E219" s="1"/>
      <c r="F219" s="60">
        <f>F217*F218</f>
        <v>0</v>
      </c>
      <c r="G219" s="1"/>
      <c r="H219" s="23" t="s">
        <v>63</v>
      </c>
      <c r="I219" s="63" t="s">
        <v>64</v>
      </c>
      <c r="J219" s="1"/>
      <c r="K219" s="1"/>
      <c r="L219" s="1"/>
      <c r="M219" s="1"/>
      <c r="N219" s="1"/>
      <c r="O219" s="1"/>
      <c r="P219" s="1"/>
      <c r="Q219" s="1"/>
      <c r="R219" s="1"/>
      <c r="S219" s="1"/>
      <c r="T219" s="1"/>
      <c r="U219" s="1"/>
      <c r="V219" s="1"/>
      <c r="W219" s="1"/>
      <c r="X219" s="1"/>
      <c r="Y219" s="1"/>
      <c r="Z219" s="1"/>
    </row>
    <row r="220" spans="1:26">
      <c r="A220" s="1"/>
      <c r="B220" s="10" t="s">
        <v>172</v>
      </c>
      <c r="C220" s="1"/>
      <c r="D220" s="1"/>
      <c r="E220" s="1"/>
      <c r="F220" s="60">
        <f>F52</f>
        <v>0</v>
      </c>
      <c r="G220" s="1"/>
      <c r="H220" s="23" t="s">
        <v>66</v>
      </c>
      <c r="I220" s="62"/>
      <c r="J220" s="1"/>
      <c r="K220" s="1"/>
      <c r="L220" s="1"/>
      <c r="M220" s="1"/>
      <c r="N220" s="1"/>
      <c r="O220" s="1"/>
      <c r="P220" s="1"/>
      <c r="Q220" s="1"/>
      <c r="R220" s="1"/>
      <c r="S220" s="1"/>
      <c r="T220" s="1"/>
      <c r="U220" s="1"/>
      <c r="V220" s="1"/>
      <c r="W220" s="1"/>
      <c r="X220" s="1"/>
      <c r="Y220" s="1"/>
      <c r="Z220" s="1"/>
    </row>
    <row r="221" spans="1:26">
      <c r="A221" s="1"/>
      <c r="B221" s="10" t="s">
        <v>173</v>
      </c>
      <c r="C221" s="1"/>
      <c r="D221" s="1"/>
      <c r="E221" s="1"/>
      <c r="F221" s="60">
        <f>F213</f>
        <v>0</v>
      </c>
      <c r="G221" s="1"/>
      <c r="H221" s="23" t="s">
        <v>68</v>
      </c>
      <c r="I221" s="62"/>
      <c r="J221" s="1"/>
      <c r="K221" s="1"/>
      <c r="L221" s="1"/>
      <c r="M221" s="1"/>
      <c r="N221" s="1"/>
      <c r="O221" s="1"/>
      <c r="P221" s="1"/>
      <c r="Q221" s="1"/>
      <c r="R221" s="1"/>
      <c r="S221" s="1"/>
      <c r="T221" s="1"/>
      <c r="U221" s="1"/>
      <c r="V221" s="1"/>
      <c r="W221" s="1"/>
      <c r="X221" s="1"/>
      <c r="Y221" s="1"/>
      <c r="Z221" s="1"/>
    </row>
    <row r="222" spans="1:26">
      <c r="A222" s="1"/>
      <c r="B222" s="10"/>
      <c r="C222" s="1"/>
      <c r="D222" s="1"/>
      <c r="E222" s="1"/>
      <c r="F222" s="58"/>
      <c r="G222" s="1"/>
      <c r="H222" s="23"/>
      <c r="I222" s="62"/>
      <c r="J222" s="1"/>
      <c r="K222" s="1"/>
      <c r="L222" s="1"/>
      <c r="M222" s="1"/>
      <c r="N222" s="1"/>
      <c r="O222" s="1"/>
      <c r="P222" s="1"/>
      <c r="Q222" s="1"/>
      <c r="R222" s="1"/>
      <c r="S222" s="1"/>
      <c r="T222" s="1"/>
      <c r="U222" s="1"/>
      <c r="V222" s="1"/>
      <c r="W222" s="1"/>
      <c r="X222" s="1"/>
      <c r="Y222" s="1"/>
      <c r="Z222" s="1"/>
    </row>
    <row r="223" spans="1:26">
      <c r="A223" s="1"/>
      <c r="B223" s="11" t="s">
        <v>69</v>
      </c>
      <c r="C223" s="1"/>
      <c r="D223" s="1"/>
      <c r="E223" s="1"/>
      <c r="F223" s="61">
        <f>F219+F220+F221</f>
        <v>0</v>
      </c>
      <c r="G223" s="1"/>
      <c r="H223" s="25" t="s">
        <v>70</v>
      </c>
      <c r="I223" s="26" t="s">
        <v>71</v>
      </c>
      <c r="J223" s="1"/>
      <c r="K223" s="1"/>
      <c r="L223" s="1"/>
      <c r="M223" s="1"/>
      <c r="N223" s="1"/>
      <c r="O223" s="1"/>
      <c r="P223" s="1"/>
      <c r="Q223" s="1"/>
      <c r="R223" s="1"/>
      <c r="S223" s="1"/>
      <c r="T223" s="1"/>
      <c r="U223" s="1"/>
      <c r="V223" s="1"/>
      <c r="W223" s="1"/>
      <c r="X223" s="1"/>
      <c r="Y223" s="1"/>
      <c r="Z223" s="1"/>
    </row>
    <row r="224" spans="1:26">
      <c r="A224" s="1"/>
      <c r="B224" s="10"/>
      <c r="C224" s="1"/>
      <c r="D224" s="1"/>
      <c r="E224" s="1"/>
      <c r="F224" s="58"/>
      <c r="G224" s="1"/>
      <c r="H224" s="1"/>
      <c r="I224" s="1"/>
      <c r="J224" s="1"/>
      <c r="K224" s="1"/>
      <c r="L224" s="1"/>
      <c r="M224" s="1"/>
      <c r="N224" s="1"/>
      <c r="O224" s="1"/>
      <c r="P224" s="1"/>
      <c r="Q224" s="1"/>
      <c r="R224" s="1"/>
      <c r="S224" s="1"/>
      <c r="T224" s="1"/>
      <c r="U224" s="1"/>
      <c r="V224" s="1"/>
      <c r="W224" s="1"/>
      <c r="X224" s="1"/>
      <c r="Y224" s="1"/>
      <c r="Z224" s="1"/>
    </row>
    <row r="225" spans="1:26">
      <c r="A225" s="1"/>
      <c r="B225" s="11" t="s">
        <v>174</v>
      </c>
      <c r="C225" s="1"/>
      <c r="D225" s="1"/>
      <c r="E225" s="1"/>
      <c r="F225" s="58"/>
      <c r="G225" s="1"/>
      <c r="H225" s="1"/>
      <c r="I225" s="1"/>
      <c r="J225" s="1"/>
      <c r="K225" s="1"/>
      <c r="L225" s="1"/>
      <c r="M225" s="1"/>
      <c r="N225" s="1"/>
      <c r="O225" s="1"/>
      <c r="P225" s="1"/>
      <c r="Q225" s="1"/>
      <c r="R225" s="1"/>
      <c r="S225" s="1"/>
      <c r="T225" s="1"/>
      <c r="U225" s="1"/>
      <c r="V225" s="1"/>
      <c r="W225" s="1"/>
      <c r="X225" s="1"/>
      <c r="Y225" s="1"/>
      <c r="Z225" s="1"/>
    </row>
    <row r="226" spans="1:26">
      <c r="A226" s="1"/>
      <c r="B226" s="10"/>
      <c r="C226" s="1"/>
      <c r="D226" s="1"/>
      <c r="E226" s="1"/>
      <c r="F226" s="58"/>
      <c r="G226" s="1"/>
      <c r="H226" s="1"/>
      <c r="I226" s="1"/>
      <c r="J226" s="1"/>
      <c r="K226" s="1"/>
      <c r="L226" s="1"/>
      <c r="M226" s="1"/>
      <c r="N226" s="1"/>
      <c r="O226" s="1"/>
      <c r="P226" s="1"/>
      <c r="Q226" s="1"/>
      <c r="R226" s="1"/>
      <c r="S226" s="1"/>
      <c r="T226" s="1"/>
      <c r="U226" s="1"/>
      <c r="V226" s="1"/>
      <c r="W226" s="1"/>
      <c r="X226" s="1"/>
      <c r="Y226" s="1"/>
      <c r="Z226" s="1"/>
    </row>
    <row r="227" spans="1:26">
      <c r="A227" s="1"/>
      <c r="B227" s="10" t="s">
        <v>175</v>
      </c>
      <c r="C227" s="1"/>
      <c r="D227" s="1"/>
      <c r="E227" s="1"/>
      <c r="F227" s="60">
        <f>F223</f>
        <v>0</v>
      </c>
      <c r="G227" s="1"/>
      <c r="H227" s="49" t="s">
        <v>42</v>
      </c>
      <c r="I227" s="50"/>
      <c r="J227" s="1"/>
      <c r="K227" s="1"/>
      <c r="L227" s="1"/>
      <c r="M227" s="1"/>
      <c r="N227" s="1"/>
      <c r="O227" s="1"/>
      <c r="P227" s="1"/>
      <c r="Q227" s="1"/>
      <c r="R227" s="1"/>
      <c r="S227" s="1"/>
      <c r="T227" s="1"/>
      <c r="U227" s="1"/>
      <c r="V227" s="1"/>
      <c r="W227" s="1"/>
      <c r="X227" s="1"/>
      <c r="Y227" s="1"/>
      <c r="Z227" s="1"/>
    </row>
    <row r="228" spans="1:26">
      <c r="A228" s="1"/>
      <c r="B228" s="10" t="s">
        <v>172</v>
      </c>
      <c r="C228" s="1"/>
      <c r="D228" s="1"/>
      <c r="E228" s="1"/>
      <c r="F228" s="60">
        <f>F27</f>
        <v>0</v>
      </c>
      <c r="G228" s="1"/>
      <c r="H228" s="23" t="s">
        <v>44</v>
      </c>
      <c r="I228" s="62"/>
      <c r="J228" s="1"/>
      <c r="K228" s="1"/>
      <c r="L228" s="1"/>
      <c r="M228" s="1"/>
      <c r="N228" s="1"/>
      <c r="O228" s="1"/>
      <c r="P228" s="1"/>
      <c r="Q228" s="1"/>
      <c r="R228" s="1"/>
      <c r="S228" s="1"/>
      <c r="T228" s="1"/>
      <c r="U228" s="1"/>
      <c r="V228" s="1"/>
      <c r="W228" s="1"/>
      <c r="X228" s="1"/>
      <c r="Y228" s="1"/>
      <c r="Z228" s="1"/>
    </row>
    <row r="229" spans="1:26">
      <c r="A229" s="1"/>
      <c r="B229" s="10" t="s">
        <v>176</v>
      </c>
      <c r="C229" s="1"/>
      <c r="D229" s="1"/>
      <c r="E229" s="1"/>
      <c r="F229" s="60">
        <f>F213*1.03</f>
        <v>0</v>
      </c>
      <c r="G229" s="1"/>
      <c r="H229" s="23" t="s">
        <v>46</v>
      </c>
      <c r="I229" s="62"/>
      <c r="J229" s="1"/>
      <c r="K229" s="1"/>
      <c r="L229" s="1"/>
      <c r="M229" s="1"/>
      <c r="N229" s="1"/>
      <c r="O229" s="1"/>
      <c r="P229" s="1"/>
      <c r="Q229" s="1"/>
      <c r="R229" s="1"/>
      <c r="S229" s="1"/>
      <c r="T229" s="1"/>
      <c r="U229" s="1"/>
      <c r="V229" s="1"/>
      <c r="W229" s="1"/>
      <c r="X229" s="1"/>
      <c r="Y229" s="1"/>
      <c r="Z229" s="1"/>
    </row>
    <row r="230" spans="1:26">
      <c r="A230" s="1"/>
      <c r="B230" s="10" t="s">
        <v>177</v>
      </c>
      <c r="C230" s="1"/>
      <c r="D230" s="1"/>
      <c r="E230" s="1"/>
      <c r="F230" s="60">
        <f>F227-F228-F229</f>
        <v>0</v>
      </c>
      <c r="G230" s="1"/>
      <c r="H230" s="23" t="s">
        <v>48</v>
      </c>
      <c r="I230" s="63" t="s">
        <v>178</v>
      </c>
      <c r="J230" s="1"/>
      <c r="K230" s="1"/>
      <c r="L230" s="1"/>
      <c r="M230" s="1"/>
      <c r="N230" s="1"/>
      <c r="O230" s="1"/>
      <c r="P230" s="1"/>
      <c r="Q230" s="1"/>
      <c r="R230" s="1"/>
      <c r="S230" s="1"/>
      <c r="T230" s="1"/>
      <c r="U230" s="1"/>
      <c r="V230" s="1"/>
      <c r="W230" s="1"/>
      <c r="X230" s="1"/>
      <c r="Y230" s="1"/>
      <c r="Z230" s="1"/>
    </row>
    <row r="231" spans="1:26">
      <c r="A231" s="1"/>
      <c r="B231" s="10" t="s">
        <v>170</v>
      </c>
      <c r="C231" s="1"/>
      <c r="D231" s="1"/>
      <c r="E231" s="1"/>
      <c r="F231" s="24">
        <f>F199</f>
        <v>0</v>
      </c>
      <c r="G231" s="1"/>
      <c r="H231" s="23" t="s">
        <v>50</v>
      </c>
      <c r="I231" s="62"/>
      <c r="J231" s="1"/>
      <c r="K231" s="1"/>
      <c r="L231" s="1"/>
      <c r="M231" s="1"/>
      <c r="N231" s="1"/>
      <c r="O231" s="1"/>
      <c r="P231" s="1"/>
      <c r="Q231" s="1"/>
      <c r="R231" s="1"/>
      <c r="S231" s="1"/>
      <c r="T231" s="1"/>
      <c r="U231" s="1"/>
      <c r="V231" s="1"/>
      <c r="W231" s="1"/>
      <c r="X231" s="1"/>
      <c r="Y231" s="1"/>
      <c r="Z231" s="1"/>
    </row>
    <row r="232" spans="1:26">
      <c r="A232" s="1"/>
      <c r="B232" s="10" t="s">
        <v>179</v>
      </c>
      <c r="C232" s="1"/>
      <c r="D232" s="1"/>
      <c r="E232" s="1"/>
      <c r="F232" s="60">
        <f>IFERROR(F230/F231,0)</f>
        <v>0</v>
      </c>
      <c r="G232" s="1"/>
      <c r="H232" s="23" t="s">
        <v>53</v>
      </c>
      <c r="I232" s="63" t="s">
        <v>180</v>
      </c>
      <c r="J232" s="1"/>
      <c r="K232" s="1"/>
      <c r="L232" s="1"/>
      <c r="M232" s="1"/>
      <c r="N232" s="1"/>
      <c r="O232" s="1"/>
      <c r="P232" s="1"/>
      <c r="Q232" s="1"/>
      <c r="R232" s="1"/>
      <c r="S232" s="1"/>
      <c r="T232" s="1"/>
      <c r="U232" s="1"/>
      <c r="V232" s="1"/>
      <c r="W232" s="1"/>
      <c r="X232" s="1"/>
      <c r="Y232" s="1"/>
      <c r="Z232" s="1"/>
    </row>
    <row r="233" spans="1:26">
      <c r="A233" s="1"/>
      <c r="B233" s="10" t="s">
        <v>181</v>
      </c>
      <c r="C233" s="1"/>
      <c r="D233" s="1"/>
      <c r="E233" s="1"/>
      <c r="F233" s="60">
        <f>F232*H203</f>
        <v>0</v>
      </c>
      <c r="G233" s="1"/>
      <c r="H233" s="23" t="s">
        <v>55</v>
      </c>
      <c r="I233" s="62" t="str">
        <f>"F*"&amp;H203</f>
        <v>F*1.005</v>
      </c>
      <c r="J233" s="1"/>
      <c r="K233" s="1"/>
      <c r="L233" s="1"/>
      <c r="M233" s="1"/>
      <c r="N233" s="1"/>
      <c r="O233" s="1"/>
      <c r="P233" s="1"/>
      <c r="Q233" s="1"/>
      <c r="R233" s="1"/>
      <c r="S233" s="1"/>
      <c r="T233" s="1"/>
      <c r="U233" s="1"/>
      <c r="V233" s="1"/>
      <c r="W233" s="1"/>
      <c r="X233" s="1"/>
      <c r="Y233" s="1"/>
      <c r="Z233" s="1"/>
    </row>
    <row r="234" spans="1:26">
      <c r="A234" s="1"/>
      <c r="B234" s="10" t="s">
        <v>182</v>
      </c>
      <c r="C234" s="1"/>
      <c r="D234" s="1"/>
      <c r="E234" s="1"/>
      <c r="F234" s="24">
        <f>F200</f>
        <v>0</v>
      </c>
      <c r="G234" s="1"/>
      <c r="H234" s="23" t="s">
        <v>58</v>
      </c>
      <c r="I234" s="62"/>
      <c r="J234" s="1"/>
      <c r="K234" s="1"/>
      <c r="L234" s="1"/>
      <c r="M234" s="1"/>
      <c r="N234" s="1"/>
      <c r="O234" s="1"/>
      <c r="P234" s="1"/>
      <c r="Q234" s="1"/>
      <c r="R234" s="1"/>
      <c r="S234" s="1"/>
      <c r="T234" s="1"/>
      <c r="U234" s="1"/>
      <c r="V234" s="1"/>
      <c r="W234" s="1"/>
      <c r="X234" s="1"/>
      <c r="Y234" s="1"/>
      <c r="Z234" s="1"/>
    </row>
    <row r="235" spans="1:26">
      <c r="A235" s="1"/>
      <c r="B235" s="10" t="s">
        <v>183</v>
      </c>
      <c r="C235" s="1"/>
      <c r="D235" s="1"/>
      <c r="E235" s="1"/>
      <c r="F235" s="60">
        <f>F233*F234</f>
        <v>0</v>
      </c>
      <c r="G235" s="1"/>
      <c r="H235" s="23" t="s">
        <v>61</v>
      </c>
      <c r="I235" s="63" t="s">
        <v>184</v>
      </c>
      <c r="J235" s="1"/>
      <c r="K235" s="1"/>
      <c r="L235" s="1"/>
      <c r="M235" s="1"/>
      <c r="N235" s="1"/>
      <c r="O235" s="1"/>
      <c r="P235" s="1"/>
      <c r="Q235" s="1"/>
      <c r="R235" s="1"/>
      <c r="S235" s="1"/>
      <c r="T235" s="1"/>
      <c r="U235" s="1"/>
      <c r="V235" s="1"/>
      <c r="W235" s="1"/>
      <c r="X235" s="1"/>
      <c r="Y235" s="1"/>
      <c r="Z235" s="1"/>
    </row>
    <row r="236" spans="1:26">
      <c r="A236" s="1"/>
      <c r="B236" s="10" t="s">
        <v>185</v>
      </c>
      <c r="C236" s="1"/>
      <c r="D236" s="1"/>
      <c r="E236" s="1"/>
      <c r="F236" s="60">
        <f>F220</f>
        <v>0</v>
      </c>
      <c r="G236" s="1"/>
      <c r="H236" s="23" t="s">
        <v>63</v>
      </c>
      <c r="I236" s="62"/>
      <c r="J236" s="1"/>
      <c r="K236" s="1"/>
      <c r="L236" s="1"/>
      <c r="M236" s="1"/>
      <c r="N236" s="1"/>
      <c r="O236" s="1"/>
      <c r="P236" s="1"/>
      <c r="Q236" s="1"/>
      <c r="R236" s="1"/>
      <c r="S236" s="1"/>
      <c r="T236" s="1"/>
      <c r="U236" s="1"/>
      <c r="V236" s="1"/>
      <c r="W236" s="1"/>
      <c r="X236" s="1"/>
      <c r="Y236" s="1"/>
      <c r="Z236" s="1"/>
    </row>
    <row r="237" spans="1:26">
      <c r="A237" s="1"/>
      <c r="B237" s="10" t="s">
        <v>186</v>
      </c>
      <c r="C237" s="1"/>
      <c r="D237" s="1"/>
      <c r="E237" s="1"/>
      <c r="F237" s="60">
        <f>F229</f>
        <v>0</v>
      </c>
      <c r="G237" s="1"/>
      <c r="H237" s="23" t="s">
        <v>66</v>
      </c>
      <c r="I237" s="62"/>
      <c r="J237" s="1"/>
      <c r="K237" s="1"/>
      <c r="L237" s="1"/>
      <c r="M237" s="1"/>
      <c r="N237" s="1"/>
      <c r="O237" s="1"/>
      <c r="P237" s="1"/>
      <c r="Q237" s="1"/>
      <c r="R237" s="1"/>
      <c r="S237" s="1"/>
      <c r="T237" s="1"/>
      <c r="U237" s="1"/>
      <c r="V237" s="1"/>
      <c r="W237" s="1"/>
      <c r="X237" s="1"/>
      <c r="Y237" s="1"/>
      <c r="Z237" s="1"/>
    </row>
    <row r="238" spans="1:26">
      <c r="A238" s="1"/>
      <c r="B238" s="10"/>
      <c r="C238" s="1"/>
      <c r="D238" s="1"/>
      <c r="E238" s="1"/>
      <c r="F238" s="58"/>
      <c r="G238" s="1"/>
      <c r="H238" s="23"/>
      <c r="I238" s="62"/>
      <c r="J238" s="1"/>
      <c r="K238" s="1"/>
      <c r="L238" s="1"/>
      <c r="M238" s="1"/>
      <c r="N238" s="1"/>
      <c r="O238" s="1"/>
      <c r="P238" s="1"/>
      <c r="Q238" s="1"/>
      <c r="R238" s="1"/>
      <c r="S238" s="1"/>
      <c r="T238" s="1"/>
      <c r="U238" s="1"/>
      <c r="V238" s="1"/>
      <c r="W238" s="1"/>
      <c r="X238" s="1"/>
      <c r="Y238" s="1"/>
      <c r="Z238" s="1"/>
    </row>
    <row r="239" spans="1:26">
      <c r="A239" s="1"/>
      <c r="B239" s="33" t="s">
        <v>69</v>
      </c>
      <c r="C239" s="19"/>
      <c r="D239" s="19"/>
      <c r="E239" s="19"/>
      <c r="F239" s="34">
        <f>F235+F236+F237</f>
        <v>0</v>
      </c>
      <c r="G239" s="1"/>
      <c r="H239" s="25" t="s">
        <v>68</v>
      </c>
      <c r="I239" s="26" t="s">
        <v>187</v>
      </c>
      <c r="J239" s="1"/>
      <c r="K239" s="1"/>
      <c r="L239" s="1"/>
      <c r="M239" s="1"/>
      <c r="N239" s="1"/>
      <c r="O239" s="1"/>
      <c r="P239" s="1"/>
      <c r="Q239" s="1"/>
      <c r="R239" s="1"/>
      <c r="S239" s="1"/>
      <c r="T239" s="1"/>
      <c r="U239" s="1"/>
      <c r="V239" s="1"/>
      <c r="W239" s="1"/>
      <c r="X239" s="1"/>
      <c r="Y239" s="1"/>
      <c r="Z239" s="1"/>
    </row>
    <row r="240" spans="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spans="1:26">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spans="1:26">
      <c r="A1057" s="5"/>
      <c r="B1057" s="5"/>
      <c r="C1057" s="5"/>
      <c r="D1057" s="5"/>
      <c r="E1057" s="5"/>
      <c r="F1057" s="5"/>
      <c r="G1057" s="5"/>
      <c r="H1057" s="5"/>
      <c r="I1057" s="5"/>
      <c r="J1057" s="5"/>
      <c r="K1057" s="5"/>
      <c r="L1057" s="5"/>
      <c r="M1057" s="5"/>
      <c r="N1057" s="5"/>
      <c r="O1057" s="5"/>
      <c r="P1057" s="5"/>
      <c r="Q1057" s="5"/>
      <c r="R1057" s="5"/>
      <c r="S1057" s="5"/>
      <c r="T1057" s="5"/>
      <c r="U1057" s="5"/>
      <c r="V1057" s="5"/>
      <c r="W1057" s="5"/>
      <c r="X1057" s="5"/>
      <c r="Y1057" s="5"/>
      <c r="Z1057" s="5"/>
    </row>
    <row r="1058" spans="1:26">
      <c r="A1058" s="5"/>
      <c r="B1058" s="5"/>
      <c r="C1058" s="5"/>
      <c r="D1058" s="5"/>
      <c r="E1058" s="5"/>
      <c r="F1058" s="5"/>
      <c r="G1058" s="5"/>
      <c r="H1058" s="5"/>
      <c r="I1058" s="5"/>
      <c r="J1058" s="5"/>
      <c r="K1058" s="5"/>
      <c r="L1058" s="5"/>
      <c r="M1058" s="5"/>
      <c r="N1058" s="5"/>
      <c r="O1058" s="5"/>
      <c r="P1058" s="5"/>
      <c r="Q1058" s="5"/>
      <c r="R1058" s="5"/>
      <c r="S1058" s="5"/>
      <c r="T1058" s="5"/>
      <c r="U1058" s="5"/>
      <c r="V1058" s="5"/>
      <c r="W1058" s="5"/>
      <c r="X1058" s="5"/>
      <c r="Y1058" s="5"/>
      <c r="Z1058" s="5"/>
    </row>
    <row r="1059" spans="1:26">
      <c r="A1059" s="5"/>
      <c r="B1059" s="5"/>
      <c r="C1059" s="5"/>
      <c r="D1059" s="5"/>
      <c r="E1059" s="5"/>
      <c r="F1059" s="5"/>
      <c r="G1059" s="5"/>
      <c r="H1059" s="5"/>
      <c r="I1059" s="5"/>
      <c r="J1059" s="5"/>
      <c r="K1059" s="5"/>
      <c r="L1059" s="5"/>
      <c r="M1059" s="5"/>
      <c r="N1059" s="5"/>
      <c r="O1059" s="5"/>
      <c r="P1059" s="5"/>
      <c r="Q1059" s="5"/>
      <c r="R1059" s="5"/>
      <c r="S1059" s="5"/>
      <c r="T1059" s="5"/>
      <c r="U1059" s="5"/>
      <c r="V1059" s="5"/>
      <c r="W1059" s="5"/>
      <c r="X1059" s="5"/>
      <c r="Y1059" s="5"/>
      <c r="Z1059" s="5"/>
    </row>
    <row r="1060" spans="1:26">
      <c r="A1060" s="5"/>
      <c r="B1060" s="5"/>
      <c r="C1060" s="5"/>
      <c r="D1060" s="5"/>
      <c r="E1060" s="5"/>
      <c r="F1060" s="5"/>
      <c r="G1060" s="5"/>
      <c r="H1060" s="5"/>
      <c r="I1060" s="5"/>
      <c r="J1060" s="5"/>
      <c r="K1060" s="5"/>
      <c r="L1060" s="5"/>
      <c r="M1060" s="5"/>
      <c r="N1060" s="5"/>
      <c r="O1060" s="5"/>
      <c r="P1060" s="5"/>
      <c r="Q1060" s="5"/>
      <c r="R1060" s="5"/>
      <c r="S1060" s="5"/>
      <c r="T1060" s="5"/>
      <c r="U1060" s="5"/>
      <c r="V1060" s="5"/>
      <c r="W1060" s="5"/>
      <c r="X1060" s="5"/>
      <c r="Y1060" s="5"/>
      <c r="Z1060" s="5"/>
    </row>
    <row r="1061" spans="1:26">
      <c r="A1061" s="5"/>
      <c r="B1061" s="5"/>
      <c r="C1061" s="5"/>
      <c r="D1061" s="5"/>
      <c r="E1061" s="5"/>
      <c r="F1061" s="5"/>
      <c r="G1061" s="5"/>
      <c r="H1061" s="5"/>
      <c r="I1061" s="5"/>
      <c r="J1061" s="5"/>
      <c r="K1061" s="5"/>
      <c r="L1061" s="5"/>
      <c r="M1061" s="5"/>
      <c r="N1061" s="5"/>
      <c r="O1061" s="5"/>
      <c r="P1061" s="5"/>
      <c r="Q1061" s="5"/>
      <c r="R1061" s="5"/>
      <c r="S1061" s="5"/>
      <c r="T1061" s="5"/>
      <c r="U1061" s="5"/>
      <c r="V1061" s="5"/>
      <c r="W1061" s="5"/>
      <c r="X1061" s="5"/>
      <c r="Y1061" s="5"/>
      <c r="Z1061" s="5"/>
    </row>
    <row r="1062" spans="1:26">
      <c r="A1062" s="5"/>
      <c r="B1062" s="5"/>
      <c r="C1062" s="5"/>
      <c r="D1062" s="5"/>
      <c r="E1062" s="5"/>
      <c r="F1062" s="5"/>
      <c r="G1062" s="5"/>
      <c r="H1062" s="5"/>
      <c r="I1062" s="5"/>
      <c r="J1062" s="5"/>
      <c r="K1062" s="5"/>
      <c r="L1062" s="5"/>
      <c r="M1062" s="5"/>
      <c r="N1062" s="5"/>
      <c r="O1062" s="5"/>
      <c r="P1062" s="5"/>
      <c r="Q1062" s="5"/>
      <c r="R1062" s="5"/>
      <c r="S1062" s="5"/>
      <c r="T1062" s="5"/>
      <c r="U1062" s="5"/>
      <c r="V1062" s="5"/>
      <c r="W1062" s="5"/>
      <c r="X1062" s="5"/>
      <c r="Y1062" s="5"/>
      <c r="Z1062" s="5"/>
    </row>
    <row r="1063" spans="1:26">
      <c r="A1063" s="5"/>
      <c r="B1063" s="5"/>
      <c r="C1063" s="5"/>
      <c r="D1063" s="5"/>
      <c r="E1063" s="5"/>
      <c r="F1063" s="5"/>
      <c r="G1063" s="5"/>
      <c r="H1063" s="5"/>
      <c r="I1063" s="5"/>
      <c r="J1063" s="5"/>
      <c r="K1063" s="5"/>
      <c r="L1063" s="5"/>
      <c r="M1063" s="5"/>
      <c r="N1063" s="5"/>
      <c r="O1063" s="5"/>
      <c r="P1063" s="5"/>
      <c r="Q1063" s="5"/>
      <c r="R1063" s="5"/>
      <c r="S1063" s="5"/>
      <c r="T1063" s="5"/>
      <c r="U1063" s="5"/>
      <c r="V1063" s="5"/>
      <c r="W1063" s="5"/>
      <c r="X1063" s="5"/>
      <c r="Y1063" s="5"/>
      <c r="Z1063" s="5"/>
    </row>
    <row r="1064" spans="1:26">
      <c r="A1064" s="5"/>
      <c r="B1064" s="5"/>
      <c r="C1064" s="5"/>
      <c r="D1064" s="5"/>
      <c r="E1064" s="5"/>
      <c r="F1064" s="5"/>
      <c r="G1064" s="5"/>
      <c r="H1064" s="5"/>
      <c r="I1064" s="5"/>
      <c r="J1064" s="5"/>
      <c r="K1064" s="5"/>
      <c r="L1064" s="5"/>
      <c r="M1064" s="5"/>
      <c r="N1064" s="5"/>
      <c r="O1064" s="5"/>
      <c r="P1064" s="5"/>
      <c r="Q1064" s="5"/>
      <c r="R1064" s="5"/>
      <c r="S1064" s="5"/>
      <c r="T1064" s="5"/>
      <c r="U1064" s="5"/>
      <c r="V1064" s="5"/>
      <c r="W1064" s="5"/>
      <c r="X1064" s="5"/>
      <c r="Y1064" s="5"/>
      <c r="Z1064" s="5"/>
    </row>
    <row r="1065" spans="1:26">
      <c r="A1065" s="5"/>
      <c r="B1065" s="5"/>
      <c r="C1065" s="5"/>
      <c r="D1065" s="5"/>
      <c r="E1065" s="5"/>
      <c r="F1065" s="5"/>
      <c r="G1065" s="5"/>
      <c r="H1065" s="5"/>
      <c r="I1065" s="5"/>
      <c r="J1065" s="5"/>
      <c r="K1065" s="5"/>
      <c r="L1065" s="5"/>
      <c r="M1065" s="5"/>
      <c r="N1065" s="5"/>
      <c r="O1065" s="5"/>
      <c r="P1065" s="5"/>
      <c r="Q1065" s="5"/>
      <c r="R1065" s="5"/>
      <c r="S1065" s="5"/>
      <c r="T1065" s="5"/>
      <c r="U1065" s="5"/>
      <c r="V1065" s="5"/>
      <c r="W1065" s="5"/>
      <c r="X1065" s="5"/>
      <c r="Y1065" s="5"/>
      <c r="Z1065" s="5"/>
    </row>
    <row r="1066" spans="1:26">
      <c r="A1066" s="5"/>
      <c r="B1066" s="5"/>
      <c r="C1066" s="5"/>
      <c r="D1066" s="5"/>
      <c r="E1066" s="5"/>
      <c r="F1066" s="5"/>
      <c r="G1066" s="5"/>
      <c r="H1066" s="5"/>
      <c r="I1066" s="5"/>
      <c r="J1066" s="5"/>
      <c r="K1066" s="5"/>
      <c r="L1066" s="5"/>
      <c r="M1066" s="5"/>
      <c r="N1066" s="5"/>
      <c r="O1066" s="5"/>
      <c r="P1066" s="5"/>
      <c r="Q1066" s="5"/>
      <c r="R1066" s="5"/>
      <c r="S1066" s="5"/>
      <c r="T1066" s="5"/>
      <c r="U1066" s="5"/>
      <c r="V1066" s="5"/>
      <c r="W1066" s="5"/>
      <c r="X1066" s="5"/>
      <c r="Y1066" s="5"/>
      <c r="Z1066" s="5"/>
    </row>
    <row r="1067" spans="1:26">
      <c r="A1067" s="5"/>
      <c r="B1067" s="5"/>
      <c r="C1067" s="5"/>
      <c r="D1067" s="5"/>
      <c r="E1067" s="5"/>
      <c r="F1067" s="5"/>
      <c r="G1067" s="5"/>
      <c r="H1067" s="5"/>
      <c r="I1067" s="5"/>
      <c r="J1067" s="5"/>
      <c r="K1067" s="5"/>
      <c r="L1067" s="5"/>
      <c r="M1067" s="5"/>
      <c r="N1067" s="5"/>
      <c r="O1067" s="5"/>
      <c r="P1067" s="5"/>
      <c r="Q1067" s="5"/>
      <c r="R1067" s="5"/>
      <c r="S1067" s="5"/>
      <c r="T1067" s="5"/>
      <c r="U1067" s="5"/>
      <c r="V1067" s="5"/>
      <c r="W1067" s="5"/>
      <c r="X1067" s="5"/>
      <c r="Y1067" s="5"/>
      <c r="Z1067" s="5"/>
    </row>
    <row r="1068" spans="1:26">
      <c r="A1068" s="5"/>
      <c r="B1068" s="5"/>
      <c r="C1068" s="5"/>
      <c r="D1068" s="5"/>
      <c r="E1068" s="5"/>
      <c r="F1068" s="5"/>
      <c r="G1068" s="5"/>
      <c r="H1068" s="5"/>
      <c r="I1068" s="5"/>
      <c r="J1068" s="5"/>
      <c r="K1068" s="5"/>
      <c r="L1068" s="5"/>
      <c r="M1068" s="5"/>
      <c r="N1068" s="5"/>
      <c r="O1068" s="5"/>
      <c r="P1068" s="5"/>
      <c r="Q1068" s="5"/>
      <c r="R1068" s="5"/>
      <c r="S1068" s="5"/>
      <c r="T1068" s="5"/>
      <c r="U1068" s="5"/>
      <c r="V1068" s="5"/>
      <c r="W1068" s="5"/>
      <c r="X1068" s="5"/>
      <c r="Y1068" s="5"/>
      <c r="Z1068" s="5"/>
    </row>
    <row r="1069" spans="1:26">
      <c r="A1069" s="5"/>
      <c r="B1069" s="5"/>
      <c r="C1069" s="5"/>
      <c r="D1069" s="5"/>
      <c r="E1069" s="5"/>
      <c r="F1069" s="5"/>
      <c r="G1069" s="5"/>
      <c r="H1069" s="5"/>
      <c r="I1069" s="5"/>
      <c r="J1069" s="5"/>
      <c r="K1069" s="5"/>
      <c r="L1069" s="5"/>
      <c r="M1069" s="5"/>
      <c r="N1069" s="5"/>
      <c r="O1069" s="5"/>
      <c r="P1069" s="5"/>
      <c r="Q1069" s="5"/>
      <c r="R1069" s="5"/>
      <c r="S1069" s="5"/>
      <c r="T1069" s="5"/>
      <c r="U1069" s="5"/>
      <c r="V1069" s="5"/>
      <c r="W1069" s="5"/>
      <c r="X1069" s="5"/>
      <c r="Y1069" s="5"/>
      <c r="Z1069" s="5"/>
    </row>
    <row r="1070" spans="1:26">
      <c r="A1070" s="5"/>
      <c r="B1070" s="5"/>
      <c r="C1070" s="5"/>
      <c r="D1070" s="5"/>
      <c r="E1070" s="5"/>
      <c r="F1070" s="5"/>
      <c r="G1070" s="5"/>
      <c r="H1070" s="5"/>
      <c r="I1070" s="5"/>
      <c r="J1070" s="5"/>
      <c r="K1070" s="5"/>
      <c r="L1070" s="5"/>
      <c r="M1070" s="5"/>
      <c r="N1070" s="5"/>
      <c r="O1070" s="5"/>
      <c r="P1070" s="5"/>
      <c r="Q1070" s="5"/>
      <c r="R1070" s="5"/>
      <c r="S1070" s="5"/>
      <c r="T1070" s="5"/>
      <c r="U1070" s="5"/>
      <c r="V1070" s="5"/>
      <c r="W1070" s="5"/>
      <c r="X1070" s="5"/>
      <c r="Y1070" s="5"/>
      <c r="Z1070" s="5"/>
    </row>
    <row r="1071" spans="1:26">
      <c r="A1071" s="5"/>
      <c r="B1071" s="5"/>
      <c r="C1071" s="5"/>
      <c r="D1071" s="5"/>
      <c r="E1071" s="5"/>
      <c r="F1071" s="5"/>
      <c r="G1071" s="5"/>
      <c r="H1071" s="5"/>
      <c r="I1071" s="5"/>
      <c r="J1071" s="5"/>
      <c r="K1071" s="5"/>
      <c r="L1071" s="5"/>
      <c r="M1071" s="5"/>
      <c r="N1071" s="5"/>
      <c r="O1071" s="5"/>
      <c r="P1071" s="5"/>
      <c r="Q1071" s="5"/>
      <c r="R1071" s="5"/>
      <c r="S1071" s="5"/>
      <c r="T1071" s="5"/>
      <c r="U1071" s="5"/>
      <c r="V1071" s="5"/>
      <c r="W1071" s="5"/>
      <c r="X1071" s="5"/>
      <c r="Y1071" s="5"/>
      <c r="Z1071" s="5"/>
    </row>
  </sheetData>
  <hyperlinks>
    <hyperlink ref="B104" r:id="rId1" xr:uid="{00000000-0004-0000-0000-000000000000}"/>
    <hyperlink ref="B125" r:id="rId2" location="payment-schedule-for-financial-year-2024-25" xr:uid="{00000000-0004-0000-0000-000001000000}"/>
    <hyperlink ref="B135" r:id="rId3" xr:uid="{00000000-0004-0000-0000-000002000000}"/>
    <hyperlink ref="B165" r:id="rId4" xr:uid="{00000000-0004-0000-0000-000003000000}"/>
    <hyperlink ref="B174" r:id="rId5" xr:uid="{00000000-0004-0000-0000-000004000000}"/>
    <hyperlink ref="B189" r:id="rId6" location=":~:text=For%20the%20academic%20year%202023%2F24%2C%20NTP%20funding%20can%20be,of%20tutoring%20is%20not%20excessive." xr:uid="{00000000-0004-0000-0000-000005000000}"/>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Lookups!$A$3:$A$57</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38"/>
  <sheetViews>
    <sheetView showGridLines="0" workbookViewId="0"/>
  </sheetViews>
  <sheetFormatPr defaultColWidth="14.42578125" defaultRowHeight="15" customHeight="1"/>
  <cols>
    <col min="2" max="2" width="218.5703125" customWidth="1"/>
  </cols>
  <sheetData>
    <row r="1" spans="1:26">
      <c r="A1" s="1"/>
      <c r="B1" s="51"/>
      <c r="C1" s="1"/>
      <c r="D1" s="1"/>
      <c r="E1" s="1"/>
      <c r="F1" s="1"/>
      <c r="G1" s="1"/>
      <c r="H1" s="1"/>
      <c r="I1" s="1"/>
      <c r="J1" s="1"/>
      <c r="K1" s="1"/>
      <c r="L1" s="1"/>
      <c r="M1" s="1"/>
      <c r="N1" s="1"/>
      <c r="O1" s="1"/>
      <c r="P1" s="1"/>
      <c r="Q1" s="1"/>
      <c r="R1" s="1"/>
      <c r="S1" s="1"/>
      <c r="T1" s="1"/>
      <c r="U1" s="1"/>
      <c r="V1" s="1"/>
      <c r="W1" s="1"/>
      <c r="X1" s="1"/>
      <c r="Y1" s="1"/>
      <c r="Z1" s="1"/>
    </row>
    <row r="2" spans="1:26">
      <c r="A2" s="1"/>
      <c r="B2" s="52" t="s">
        <v>188</v>
      </c>
      <c r="C2" s="1"/>
      <c r="D2" s="1"/>
      <c r="E2" s="1"/>
      <c r="F2" s="1"/>
      <c r="G2" s="1"/>
      <c r="H2" s="1"/>
      <c r="I2" s="1"/>
      <c r="J2" s="1"/>
      <c r="K2" s="1"/>
      <c r="L2" s="1"/>
      <c r="M2" s="1"/>
      <c r="N2" s="1"/>
      <c r="O2" s="1"/>
      <c r="P2" s="1"/>
      <c r="Q2" s="1"/>
      <c r="R2" s="1"/>
      <c r="S2" s="1"/>
      <c r="T2" s="1"/>
      <c r="U2" s="1"/>
      <c r="V2" s="1"/>
      <c r="W2" s="1"/>
      <c r="X2" s="1"/>
      <c r="Y2" s="1"/>
      <c r="Z2" s="1"/>
    </row>
    <row r="3" spans="1:26">
      <c r="A3" s="1"/>
      <c r="B3" s="51"/>
      <c r="C3" s="1"/>
      <c r="D3" s="1"/>
      <c r="E3" s="1"/>
      <c r="F3" s="1"/>
      <c r="G3" s="1"/>
      <c r="H3" s="1"/>
      <c r="I3" s="1"/>
      <c r="J3" s="1"/>
      <c r="K3" s="1"/>
      <c r="L3" s="1"/>
      <c r="M3" s="1"/>
      <c r="N3" s="1"/>
      <c r="O3" s="1"/>
      <c r="P3" s="1"/>
      <c r="Q3" s="1"/>
      <c r="R3" s="1"/>
      <c r="S3" s="1"/>
      <c r="T3" s="1"/>
      <c r="U3" s="1"/>
      <c r="V3" s="1"/>
      <c r="W3" s="1"/>
      <c r="X3" s="1"/>
      <c r="Y3" s="1"/>
      <c r="Z3" s="1"/>
    </row>
    <row r="4" spans="1:26" ht="91.5">
      <c r="A4" s="1"/>
      <c r="B4" s="51" t="s">
        <v>189</v>
      </c>
      <c r="C4" s="1"/>
      <c r="D4" s="1"/>
      <c r="E4" s="1"/>
      <c r="F4" s="1"/>
      <c r="G4" s="1"/>
      <c r="H4" s="1"/>
      <c r="I4" s="1"/>
      <c r="J4" s="1"/>
      <c r="K4" s="1"/>
      <c r="L4" s="1"/>
      <c r="M4" s="1"/>
      <c r="N4" s="1"/>
      <c r="O4" s="1"/>
      <c r="P4" s="1"/>
      <c r="Q4" s="1"/>
      <c r="R4" s="1"/>
      <c r="S4" s="1"/>
      <c r="T4" s="1"/>
      <c r="U4" s="1"/>
      <c r="V4" s="1"/>
      <c r="W4" s="1"/>
      <c r="X4" s="1"/>
      <c r="Y4" s="1"/>
      <c r="Z4" s="1"/>
    </row>
    <row r="5" spans="1:26" ht="15.75">
      <c r="A5" s="1"/>
      <c r="B5" s="51"/>
      <c r="C5" s="1"/>
      <c r="D5" s="1"/>
      <c r="E5" s="1"/>
      <c r="F5" s="1"/>
      <c r="G5" s="1"/>
      <c r="H5" s="1"/>
      <c r="I5" s="1"/>
      <c r="J5" s="1"/>
      <c r="K5" s="1"/>
      <c r="L5" s="1"/>
      <c r="M5" s="1"/>
      <c r="N5" s="1"/>
      <c r="O5" s="1"/>
      <c r="P5" s="1"/>
      <c r="Q5" s="1"/>
      <c r="R5" s="1"/>
      <c r="S5" s="1"/>
      <c r="T5" s="1"/>
      <c r="U5" s="1"/>
      <c r="V5" s="1"/>
      <c r="W5" s="1"/>
      <c r="X5" s="1"/>
      <c r="Y5" s="1"/>
      <c r="Z5" s="1"/>
    </row>
    <row r="6" spans="1:26" ht="15.75">
      <c r="A6" s="1"/>
      <c r="B6" s="51" t="s">
        <v>190</v>
      </c>
      <c r="C6" s="1"/>
      <c r="D6" s="1"/>
      <c r="E6" s="1"/>
      <c r="F6" s="1"/>
      <c r="G6" s="1"/>
      <c r="H6" s="1"/>
      <c r="I6" s="1"/>
      <c r="J6" s="1"/>
      <c r="K6" s="1"/>
      <c r="L6" s="1"/>
      <c r="M6" s="1"/>
      <c r="N6" s="1"/>
      <c r="O6" s="1"/>
      <c r="P6" s="1"/>
      <c r="Q6" s="1"/>
      <c r="R6" s="1"/>
      <c r="S6" s="1"/>
      <c r="T6" s="1"/>
      <c r="U6" s="1"/>
      <c r="V6" s="1"/>
      <c r="W6" s="1"/>
      <c r="X6" s="1"/>
      <c r="Y6" s="1"/>
      <c r="Z6" s="1"/>
    </row>
    <row r="7" spans="1:26" ht="15.75">
      <c r="A7" s="1"/>
      <c r="B7" s="51"/>
      <c r="C7" s="1"/>
      <c r="D7" s="1"/>
      <c r="E7" s="1"/>
      <c r="F7" s="1"/>
      <c r="G7" s="1"/>
      <c r="H7" s="1"/>
      <c r="I7" s="1"/>
      <c r="J7" s="1"/>
      <c r="K7" s="1"/>
      <c r="L7" s="1"/>
      <c r="M7" s="1"/>
      <c r="N7" s="1"/>
      <c r="O7" s="1"/>
      <c r="P7" s="1"/>
      <c r="Q7" s="1"/>
      <c r="R7" s="1"/>
      <c r="S7" s="1"/>
      <c r="T7" s="1"/>
      <c r="U7" s="1"/>
      <c r="V7" s="1"/>
      <c r="W7" s="1"/>
      <c r="X7" s="1"/>
      <c r="Y7" s="1"/>
      <c r="Z7" s="1"/>
    </row>
    <row r="8" spans="1:26" ht="15.75">
      <c r="A8" s="1"/>
      <c r="B8" s="52" t="s">
        <v>191</v>
      </c>
      <c r="C8" s="1"/>
      <c r="D8" s="1"/>
      <c r="E8" s="1"/>
      <c r="F8" s="1"/>
      <c r="G8" s="1"/>
      <c r="H8" s="1"/>
      <c r="I8" s="1"/>
      <c r="J8" s="1"/>
      <c r="K8" s="1"/>
      <c r="L8" s="1"/>
      <c r="M8" s="1"/>
      <c r="N8" s="1"/>
      <c r="O8" s="1"/>
      <c r="P8" s="1"/>
      <c r="Q8" s="1"/>
      <c r="R8" s="1"/>
      <c r="S8" s="1"/>
      <c r="T8" s="1"/>
      <c r="U8" s="1"/>
      <c r="V8" s="1"/>
      <c r="W8" s="1"/>
      <c r="X8" s="1"/>
      <c r="Y8" s="1"/>
      <c r="Z8" s="1"/>
    </row>
    <row r="9" spans="1:26" ht="15.75">
      <c r="A9" s="1"/>
      <c r="B9" s="51"/>
      <c r="C9" s="1"/>
      <c r="D9" s="1"/>
      <c r="E9" s="1"/>
      <c r="F9" s="1"/>
      <c r="G9" s="1"/>
      <c r="H9" s="1"/>
      <c r="I9" s="1"/>
      <c r="J9" s="1"/>
      <c r="K9" s="1"/>
      <c r="L9" s="1"/>
      <c r="M9" s="1"/>
      <c r="N9" s="1"/>
      <c r="O9" s="1"/>
      <c r="P9" s="1"/>
      <c r="Q9" s="1"/>
      <c r="R9" s="1"/>
      <c r="S9" s="1"/>
      <c r="T9" s="1"/>
      <c r="U9" s="1"/>
      <c r="V9" s="1"/>
      <c r="W9" s="1"/>
      <c r="X9" s="1"/>
      <c r="Y9" s="1"/>
      <c r="Z9" s="1"/>
    </row>
    <row r="10" spans="1:26" ht="107.25">
      <c r="A10" s="1"/>
      <c r="B10" s="51" t="s">
        <v>192</v>
      </c>
      <c r="C10" s="1"/>
      <c r="D10" s="1"/>
      <c r="E10" s="1"/>
      <c r="F10" s="1"/>
      <c r="G10" s="1"/>
      <c r="H10" s="1"/>
      <c r="I10" s="1"/>
      <c r="J10" s="1"/>
      <c r="K10" s="1"/>
      <c r="L10" s="1"/>
      <c r="M10" s="1"/>
      <c r="N10" s="1"/>
      <c r="O10" s="1"/>
      <c r="P10" s="1"/>
      <c r="Q10" s="1"/>
      <c r="R10" s="1"/>
      <c r="S10" s="1"/>
      <c r="T10" s="1"/>
      <c r="U10" s="1"/>
      <c r="V10" s="1"/>
      <c r="W10" s="1"/>
      <c r="X10" s="1"/>
      <c r="Y10" s="1"/>
      <c r="Z10" s="1"/>
    </row>
    <row r="11" spans="1:26" ht="15.75">
      <c r="A11" s="1"/>
      <c r="B11" s="51"/>
      <c r="C11" s="1"/>
      <c r="D11" s="1"/>
      <c r="E11" s="1"/>
      <c r="F11" s="1"/>
      <c r="G11" s="1"/>
      <c r="H11" s="1"/>
      <c r="I11" s="1"/>
      <c r="J11" s="1"/>
      <c r="K11" s="1"/>
      <c r="L11" s="1"/>
      <c r="M11" s="1"/>
      <c r="N11" s="1"/>
      <c r="O11" s="1"/>
      <c r="P11" s="1"/>
      <c r="Q11" s="1"/>
      <c r="R11" s="1"/>
      <c r="S11" s="1"/>
      <c r="T11" s="1"/>
      <c r="U11" s="1"/>
      <c r="V11" s="1"/>
      <c r="W11" s="1"/>
      <c r="X11" s="1"/>
      <c r="Y11" s="1"/>
      <c r="Z11" s="1"/>
    </row>
    <row r="12" spans="1:26" ht="15.75">
      <c r="A12" s="1"/>
      <c r="B12" s="51" t="s">
        <v>193</v>
      </c>
      <c r="C12" s="1"/>
      <c r="D12" s="1"/>
      <c r="E12" s="1"/>
      <c r="F12" s="1"/>
      <c r="G12" s="1"/>
      <c r="H12" s="1"/>
      <c r="I12" s="1"/>
      <c r="J12" s="1"/>
      <c r="K12" s="1"/>
      <c r="L12" s="1"/>
      <c r="M12" s="1"/>
      <c r="N12" s="1"/>
      <c r="O12" s="1"/>
      <c r="P12" s="1"/>
      <c r="Q12" s="1"/>
      <c r="R12" s="1"/>
      <c r="S12" s="1"/>
      <c r="T12" s="1"/>
      <c r="U12" s="1"/>
      <c r="V12" s="1"/>
      <c r="W12" s="1"/>
      <c r="X12" s="1"/>
      <c r="Y12" s="1"/>
      <c r="Z12" s="1"/>
    </row>
    <row r="13" spans="1:26" ht="15.75">
      <c r="A13" s="1"/>
      <c r="B13" s="51"/>
      <c r="C13" s="1"/>
      <c r="D13" s="1"/>
      <c r="E13" s="1"/>
      <c r="F13" s="1"/>
      <c r="G13" s="1"/>
      <c r="H13" s="1"/>
      <c r="I13" s="1"/>
      <c r="J13" s="1"/>
      <c r="K13" s="1"/>
      <c r="L13" s="1"/>
      <c r="M13" s="1"/>
      <c r="N13" s="1"/>
      <c r="O13" s="1"/>
      <c r="P13" s="1"/>
      <c r="Q13" s="1"/>
      <c r="R13" s="1"/>
      <c r="S13" s="1"/>
      <c r="T13" s="1"/>
      <c r="U13" s="1"/>
      <c r="V13" s="1"/>
      <c r="W13" s="1"/>
      <c r="X13" s="1"/>
      <c r="Y13" s="1"/>
      <c r="Z13" s="1"/>
    </row>
    <row r="14" spans="1:26" ht="15.75">
      <c r="A14" s="1"/>
      <c r="B14" s="52" t="s">
        <v>194</v>
      </c>
      <c r="C14" s="1"/>
      <c r="D14" s="1"/>
      <c r="E14" s="1"/>
      <c r="F14" s="1"/>
      <c r="G14" s="1"/>
      <c r="H14" s="1"/>
      <c r="I14" s="1"/>
      <c r="J14" s="1"/>
      <c r="K14" s="1"/>
      <c r="L14" s="1"/>
      <c r="M14" s="1"/>
      <c r="N14" s="1"/>
      <c r="O14" s="1"/>
      <c r="P14" s="1"/>
      <c r="Q14" s="1"/>
      <c r="R14" s="1"/>
      <c r="S14" s="1"/>
      <c r="T14" s="1"/>
      <c r="U14" s="1"/>
      <c r="V14" s="1"/>
      <c r="W14" s="1"/>
      <c r="X14" s="1"/>
      <c r="Y14" s="1"/>
      <c r="Z14" s="1"/>
    </row>
    <row r="15" spans="1:26" ht="15.75">
      <c r="A15" s="1"/>
      <c r="B15" s="51"/>
      <c r="C15" s="1"/>
      <c r="D15" s="1"/>
      <c r="E15" s="1"/>
      <c r="F15" s="1"/>
      <c r="G15" s="1"/>
      <c r="H15" s="1"/>
      <c r="I15" s="1"/>
      <c r="J15" s="1"/>
      <c r="K15" s="1"/>
      <c r="L15" s="1"/>
      <c r="M15" s="1"/>
      <c r="N15" s="1"/>
      <c r="O15" s="1"/>
      <c r="P15" s="1"/>
      <c r="Q15" s="1"/>
      <c r="R15" s="1"/>
      <c r="S15" s="1"/>
      <c r="T15" s="1"/>
      <c r="U15" s="1"/>
      <c r="V15" s="1"/>
      <c r="W15" s="1"/>
      <c r="X15" s="1"/>
      <c r="Y15" s="1"/>
      <c r="Z15" s="1"/>
    </row>
    <row r="16" spans="1:26" ht="122.25">
      <c r="A16" s="1"/>
      <c r="B16" s="51" t="s">
        <v>195</v>
      </c>
      <c r="C16" s="1"/>
      <c r="D16" s="1"/>
      <c r="E16" s="1"/>
      <c r="F16" s="1"/>
      <c r="G16" s="1"/>
      <c r="H16" s="1"/>
      <c r="I16" s="1"/>
      <c r="J16" s="1"/>
      <c r="K16" s="1"/>
      <c r="L16" s="1"/>
      <c r="M16" s="1"/>
      <c r="N16" s="1"/>
      <c r="O16" s="1"/>
      <c r="P16" s="1"/>
      <c r="Q16" s="1"/>
      <c r="R16" s="1"/>
      <c r="S16" s="1"/>
      <c r="T16" s="1"/>
      <c r="U16" s="1"/>
      <c r="V16" s="1"/>
      <c r="W16" s="1"/>
      <c r="X16" s="1"/>
      <c r="Y16" s="1"/>
      <c r="Z16" s="1"/>
    </row>
    <row r="17" spans="1:26" ht="15.75">
      <c r="A17" s="1"/>
      <c r="B17" s="51"/>
      <c r="C17" s="1"/>
      <c r="D17" s="1"/>
      <c r="E17" s="1"/>
      <c r="F17" s="1"/>
      <c r="G17" s="1"/>
      <c r="H17" s="1"/>
      <c r="I17" s="1"/>
      <c r="J17" s="1"/>
      <c r="K17" s="1"/>
      <c r="L17" s="1"/>
      <c r="M17" s="1"/>
      <c r="N17" s="1"/>
      <c r="O17" s="1"/>
      <c r="P17" s="1"/>
      <c r="Q17" s="1"/>
      <c r="R17" s="1"/>
      <c r="S17" s="1"/>
      <c r="T17" s="1"/>
      <c r="U17" s="1"/>
      <c r="V17" s="1"/>
      <c r="W17" s="1"/>
      <c r="X17" s="1"/>
      <c r="Y17" s="1"/>
      <c r="Z17" s="1"/>
    </row>
    <row r="18" spans="1:26" ht="15.75">
      <c r="A18" s="1"/>
      <c r="B18" s="52" t="s">
        <v>196</v>
      </c>
      <c r="C18" s="1"/>
      <c r="D18" s="1"/>
      <c r="E18" s="1"/>
      <c r="F18" s="1"/>
      <c r="G18" s="1"/>
      <c r="H18" s="1"/>
      <c r="I18" s="1"/>
      <c r="J18" s="1"/>
      <c r="K18" s="1"/>
      <c r="L18" s="1"/>
      <c r="M18" s="1"/>
      <c r="N18" s="1"/>
      <c r="O18" s="1"/>
      <c r="P18" s="1"/>
      <c r="Q18" s="1"/>
      <c r="R18" s="1"/>
      <c r="S18" s="1"/>
      <c r="T18" s="1"/>
      <c r="U18" s="1"/>
      <c r="V18" s="1"/>
      <c r="W18" s="1"/>
      <c r="X18" s="1"/>
      <c r="Y18" s="1"/>
      <c r="Z18" s="1"/>
    </row>
    <row r="19" spans="1:26" ht="15.75">
      <c r="A19" s="1"/>
      <c r="B19" s="51"/>
      <c r="C19" s="1"/>
      <c r="D19" s="1"/>
      <c r="E19" s="1"/>
      <c r="F19" s="1"/>
      <c r="G19" s="1"/>
      <c r="H19" s="1"/>
      <c r="I19" s="1"/>
      <c r="J19" s="1"/>
      <c r="K19" s="1"/>
      <c r="L19" s="1"/>
      <c r="M19" s="1"/>
      <c r="N19" s="1"/>
      <c r="O19" s="1"/>
      <c r="P19" s="1"/>
      <c r="Q19" s="1"/>
      <c r="R19" s="1"/>
      <c r="S19" s="1"/>
      <c r="T19" s="1"/>
      <c r="U19" s="1"/>
      <c r="V19" s="1"/>
      <c r="W19" s="1"/>
      <c r="X19" s="1"/>
      <c r="Y19" s="1"/>
      <c r="Z19" s="1"/>
    </row>
    <row r="20" spans="1:26" ht="45.75">
      <c r="A20" s="1"/>
      <c r="B20" s="51" t="s">
        <v>197</v>
      </c>
      <c r="C20" s="1"/>
      <c r="D20" s="1"/>
      <c r="E20" s="1"/>
      <c r="F20" s="1"/>
      <c r="G20" s="1"/>
      <c r="H20" s="1"/>
      <c r="I20" s="1"/>
      <c r="J20" s="1"/>
      <c r="K20" s="1"/>
      <c r="L20" s="1"/>
      <c r="M20" s="1"/>
      <c r="N20" s="1"/>
      <c r="O20" s="1"/>
      <c r="P20" s="1"/>
      <c r="Q20" s="1"/>
      <c r="R20" s="1"/>
      <c r="S20" s="1"/>
      <c r="T20" s="1"/>
      <c r="U20" s="1"/>
      <c r="V20" s="1"/>
      <c r="W20" s="1"/>
      <c r="X20" s="1"/>
      <c r="Y20" s="1"/>
      <c r="Z20" s="1"/>
    </row>
    <row r="21" spans="1:26" ht="15.75">
      <c r="A21" s="1"/>
      <c r="B21" s="51"/>
      <c r="C21" s="1"/>
      <c r="D21" s="1"/>
      <c r="E21" s="1"/>
      <c r="F21" s="1"/>
      <c r="G21" s="1"/>
      <c r="H21" s="1"/>
      <c r="I21" s="1"/>
      <c r="J21" s="1"/>
      <c r="K21" s="1"/>
      <c r="L21" s="1"/>
      <c r="M21" s="1"/>
      <c r="N21" s="1"/>
      <c r="O21" s="1"/>
      <c r="P21" s="1"/>
      <c r="Q21" s="1"/>
      <c r="R21" s="1"/>
      <c r="S21" s="1"/>
      <c r="T21" s="1"/>
      <c r="U21" s="1"/>
      <c r="V21" s="1"/>
      <c r="W21" s="1"/>
      <c r="X21" s="1"/>
      <c r="Y21" s="1"/>
      <c r="Z21" s="1"/>
    </row>
    <row r="22" spans="1:26" ht="15.75">
      <c r="A22" s="1"/>
      <c r="B22" s="3" t="s">
        <v>198</v>
      </c>
      <c r="C22" s="1"/>
      <c r="D22" s="1"/>
      <c r="E22" s="1"/>
      <c r="F22" s="1"/>
      <c r="G22" s="1"/>
      <c r="H22" s="1"/>
      <c r="I22" s="1"/>
      <c r="J22" s="1"/>
      <c r="K22" s="1"/>
      <c r="L22" s="1"/>
      <c r="M22" s="1"/>
      <c r="N22" s="1"/>
      <c r="O22" s="1"/>
      <c r="P22" s="1"/>
      <c r="Q22" s="1"/>
      <c r="R22" s="1"/>
      <c r="S22" s="1"/>
      <c r="T22" s="1"/>
      <c r="U22" s="1"/>
      <c r="V22" s="1"/>
      <c r="W22" s="1"/>
      <c r="X22" s="1"/>
      <c r="Y22" s="1"/>
      <c r="Z22" s="1"/>
    </row>
    <row r="23" spans="1:26" ht="15.75">
      <c r="A23" s="1"/>
      <c r="B23" s="3"/>
      <c r="C23" s="1"/>
      <c r="D23" s="1"/>
      <c r="E23" s="1"/>
      <c r="F23" s="1"/>
      <c r="G23" s="1"/>
      <c r="H23" s="1"/>
      <c r="I23" s="1"/>
      <c r="J23" s="1"/>
      <c r="K23" s="1"/>
      <c r="L23" s="1"/>
      <c r="M23" s="1"/>
      <c r="N23" s="1"/>
      <c r="O23" s="1"/>
      <c r="P23" s="1"/>
      <c r="Q23" s="1"/>
      <c r="R23" s="1"/>
      <c r="S23" s="1"/>
      <c r="T23" s="1"/>
      <c r="U23" s="1"/>
      <c r="V23" s="1"/>
      <c r="W23" s="1"/>
      <c r="X23" s="1"/>
      <c r="Y23" s="1"/>
      <c r="Z23" s="1"/>
    </row>
    <row r="24" spans="1:26" ht="45.75">
      <c r="A24" s="1"/>
      <c r="B24" s="51" t="s">
        <v>199</v>
      </c>
      <c r="C24" s="1"/>
      <c r="D24" s="1"/>
      <c r="E24" s="1"/>
      <c r="F24" s="1"/>
      <c r="G24" s="1"/>
      <c r="H24" s="1"/>
      <c r="I24" s="1"/>
      <c r="J24" s="1"/>
      <c r="K24" s="1"/>
      <c r="L24" s="1"/>
      <c r="M24" s="1"/>
      <c r="N24" s="1"/>
      <c r="O24" s="1"/>
      <c r="P24" s="1"/>
      <c r="Q24" s="1"/>
      <c r="R24" s="1"/>
      <c r="S24" s="1"/>
      <c r="T24" s="1"/>
      <c r="U24" s="1"/>
      <c r="V24" s="1"/>
      <c r="W24" s="1"/>
      <c r="X24" s="1"/>
      <c r="Y24" s="1"/>
      <c r="Z24" s="1"/>
    </row>
    <row r="25" spans="1:26" ht="15.75">
      <c r="A25" s="1"/>
      <c r="B25" s="3"/>
      <c r="C25" s="1"/>
      <c r="D25" s="1"/>
      <c r="E25" s="1"/>
      <c r="F25" s="1"/>
      <c r="G25" s="1"/>
      <c r="H25" s="1"/>
      <c r="I25" s="1"/>
      <c r="J25" s="1"/>
      <c r="K25" s="1"/>
      <c r="L25" s="1"/>
      <c r="M25" s="1"/>
      <c r="N25" s="1"/>
      <c r="O25" s="1"/>
      <c r="P25" s="1"/>
      <c r="Q25" s="1"/>
      <c r="R25" s="1"/>
      <c r="S25" s="1"/>
      <c r="T25" s="1"/>
      <c r="U25" s="1"/>
      <c r="V25" s="1"/>
      <c r="W25" s="1"/>
      <c r="X25" s="1"/>
      <c r="Y25" s="1"/>
      <c r="Z25" s="1"/>
    </row>
    <row r="26" spans="1:26" ht="15.75">
      <c r="A26" s="1"/>
      <c r="B26" s="3" t="s">
        <v>30</v>
      </c>
      <c r="C26" s="1"/>
      <c r="D26" s="1"/>
      <c r="E26" s="1"/>
      <c r="F26" s="1"/>
      <c r="G26" s="1"/>
      <c r="H26" s="1"/>
      <c r="I26" s="1"/>
      <c r="J26" s="1"/>
      <c r="K26" s="1"/>
      <c r="L26" s="1"/>
      <c r="M26" s="1"/>
      <c r="N26" s="1"/>
      <c r="O26" s="1"/>
      <c r="P26" s="1"/>
      <c r="Q26" s="1"/>
      <c r="R26" s="1"/>
      <c r="S26" s="1"/>
      <c r="T26" s="1"/>
      <c r="U26" s="1"/>
      <c r="V26" s="1"/>
      <c r="W26" s="1"/>
      <c r="X26" s="1"/>
      <c r="Y26" s="1"/>
      <c r="Z26" s="1"/>
    </row>
    <row r="27" spans="1:26" ht="15.7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45.75">
      <c r="A28" s="1"/>
      <c r="B28" s="51" t="s">
        <v>200</v>
      </c>
      <c r="C28" s="1"/>
      <c r="D28" s="1"/>
      <c r="E28" s="1"/>
      <c r="F28" s="1"/>
      <c r="G28" s="1"/>
      <c r="H28" s="1"/>
      <c r="I28" s="1"/>
      <c r="J28" s="1"/>
      <c r="K28" s="1"/>
      <c r="L28" s="1"/>
      <c r="M28" s="1"/>
      <c r="N28" s="1"/>
      <c r="O28" s="1"/>
      <c r="P28" s="1"/>
      <c r="Q28" s="1"/>
      <c r="R28" s="1"/>
      <c r="S28" s="1"/>
      <c r="T28" s="1"/>
      <c r="U28" s="1"/>
      <c r="V28" s="1"/>
      <c r="W28" s="1"/>
      <c r="X28" s="1"/>
      <c r="Y28" s="1"/>
      <c r="Z28" s="1"/>
    </row>
    <row r="29" spans="1:26" ht="15.7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 r="A30" s="1"/>
      <c r="B30" s="52" t="s">
        <v>74</v>
      </c>
      <c r="C30" s="1"/>
      <c r="D30" s="1"/>
      <c r="E30" s="1"/>
      <c r="F30" s="1"/>
      <c r="G30" s="1"/>
      <c r="H30" s="1"/>
      <c r="I30" s="1"/>
      <c r="J30" s="1"/>
      <c r="K30" s="1"/>
      <c r="L30" s="1"/>
      <c r="M30" s="1"/>
      <c r="N30" s="1"/>
      <c r="O30" s="1"/>
      <c r="P30" s="1"/>
      <c r="Q30" s="1"/>
      <c r="R30" s="1"/>
      <c r="S30" s="1"/>
      <c r="T30" s="1"/>
      <c r="U30" s="1"/>
      <c r="V30" s="1"/>
      <c r="W30" s="1"/>
      <c r="X30" s="1"/>
      <c r="Y30" s="1"/>
      <c r="Z30" s="1"/>
    </row>
    <row r="31" spans="1:26" ht="15.75">
      <c r="A31" s="1"/>
      <c r="B31" s="51"/>
      <c r="C31" s="1"/>
      <c r="D31" s="1"/>
      <c r="E31" s="1"/>
      <c r="F31" s="1"/>
      <c r="G31" s="1"/>
      <c r="H31" s="1"/>
      <c r="I31" s="1"/>
      <c r="J31" s="1"/>
      <c r="K31" s="1"/>
      <c r="L31" s="1"/>
      <c r="M31" s="1"/>
      <c r="N31" s="1"/>
      <c r="O31" s="1"/>
      <c r="P31" s="1"/>
      <c r="Q31" s="1"/>
      <c r="R31" s="1"/>
      <c r="S31" s="1"/>
      <c r="T31" s="1"/>
      <c r="U31" s="1"/>
      <c r="V31" s="1"/>
      <c r="W31" s="1"/>
      <c r="X31" s="1"/>
      <c r="Y31" s="1"/>
      <c r="Z31" s="1"/>
    </row>
    <row r="32" spans="1:26" ht="30.75">
      <c r="A32" s="1"/>
      <c r="B32" s="51" t="s">
        <v>201</v>
      </c>
      <c r="C32" s="1"/>
      <c r="D32" s="1"/>
      <c r="E32" s="1"/>
      <c r="F32" s="1"/>
      <c r="G32" s="1"/>
      <c r="H32" s="1"/>
      <c r="I32" s="1"/>
      <c r="J32" s="1"/>
      <c r="K32" s="1"/>
      <c r="L32" s="1"/>
      <c r="M32" s="1"/>
      <c r="N32" s="1"/>
      <c r="O32" s="1"/>
      <c r="P32" s="1"/>
      <c r="Q32" s="1"/>
      <c r="R32" s="1"/>
      <c r="S32" s="1"/>
      <c r="T32" s="1"/>
      <c r="U32" s="1"/>
      <c r="V32" s="1"/>
      <c r="W32" s="1"/>
      <c r="X32" s="1"/>
      <c r="Y32" s="1"/>
      <c r="Z32" s="1"/>
    </row>
    <row r="33" spans="1:26" ht="15.75">
      <c r="A33" s="1"/>
      <c r="B33" s="51"/>
      <c r="C33" s="1"/>
      <c r="D33" s="1"/>
      <c r="E33" s="1"/>
      <c r="F33" s="1"/>
      <c r="G33" s="1"/>
      <c r="H33" s="1"/>
      <c r="I33" s="1"/>
      <c r="J33" s="1"/>
      <c r="K33" s="1"/>
      <c r="L33" s="1"/>
      <c r="M33" s="1"/>
      <c r="N33" s="1"/>
      <c r="O33" s="1"/>
      <c r="P33" s="1"/>
      <c r="Q33" s="1"/>
      <c r="R33" s="1"/>
      <c r="S33" s="1"/>
      <c r="T33" s="1"/>
      <c r="U33" s="1"/>
      <c r="V33" s="1"/>
      <c r="W33" s="1"/>
      <c r="X33" s="1"/>
      <c r="Y33" s="1"/>
      <c r="Z33" s="1"/>
    </row>
    <row r="34" spans="1:26" ht="15.75">
      <c r="A34" s="1"/>
      <c r="B34" s="3" t="s">
        <v>7</v>
      </c>
      <c r="C34" s="1"/>
      <c r="D34" s="1"/>
      <c r="E34" s="1"/>
      <c r="F34" s="1"/>
      <c r="G34" s="1"/>
      <c r="H34" s="1"/>
      <c r="I34" s="1"/>
      <c r="J34" s="1"/>
      <c r="K34" s="1"/>
      <c r="L34" s="1"/>
      <c r="M34" s="1"/>
      <c r="N34" s="1"/>
      <c r="O34" s="1"/>
      <c r="P34" s="1"/>
      <c r="Q34" s="1"/>
      <c r="R34" s="1"/>
      <c r="S34" s="1"/>
      <c r="T34" s="1"/>
      <c r="U34" s="1"/>
      <c r="V34" s="1"/>
      <c r="W34" s="1"/>
      <c r="X34" s="1"/>
      <c r="Y34" s="1"/>
      <c r="Z34" s="1"/>
    </row>
    <row r="35" spans="1:26" ht="15.75">
      <c r="A35" s="1"/>
      <c r="B35" s="51"/>
      <c r="C35" s="1"/>
      <c r="D35" s="1"/>
      <c r="E35" s="1"/>
      <c r="F35" s="1"/>
      <c r="G35" s="1"/>
      <c r="H35" s="1"/>
      <c r="I35" s="1"/>
      <c r="J35" s="1"/>
      <c r="K35" s="1"/>
      <c r="L35" s="1"/>
      <c r="M35" s="1"/>
      <c r="N35" s="1"/>
      <c r="O35" s="1"/>
      <c r="P35" s="1"/>
      <c r="Q35" s="1"/>
      <c r="R35" s="1"/>
      <c r="S35" s="1"/>
      <c r="T35" s="1"/>
      <c r="U35" s="1"/>
      <c r="V35" s="1"/>
      <c r="W35" s="1"/>
      <c r="X35" s="1"/>
      <c r="Y35" s="1"/>
      <c r="Z35" s="1"/>
    </row>
    <row r="36" spans="1:26" ht="61.5">
      <c r="A36" s="1"/>
      <c r="B36" s="51" t="s">
        <v>202</v>
      </c>
      <c r="C36" s="1"/>
      <c r="D36" s="1"/>
      <c r="E36" s="1"/>
      <c r="F36" s="1"/>
      <c r="G36" s="1"/>
      <c r="H36" s="1"/>
      <c r="I36" s="1"/>
      <c r="J36" s="1"/>
      <c r="K36" s="1"/>
      <c r="L36" s="1"/>
      <c r="M36" s="1"/>
      <c r="N36" s="1"/>
      <c r="O36" s="1"/>
      <c r="P36" s="1"/>
      <c r="Q36" s="1"/>
      <c r="R36" s="1"/>
      <c r="S36" s="1"/>
      <c r="T36" s="1"/>
      <c r="U36" s="1"/>
      <c r="V36" s="1"/>
      <c r="W36" s="1"/>
      <c r="X36" s="1"/>
      <c r="Y36" s="1"/>
      <c r="Z36" s="1"/>
    </row>
    <row r="37" spans="1:26" ht="15.75">
      <c r="A37" s="1"/>
      <c r="B37" s="51"/>
      <c r="C37" s="1"/>
      <c r="D37" s="1"/>
      <c r="E37" s="1"/>
      <c r="F37" s="1"/>
      <c r="G37" s="1"/>
      <c r="H37" s="1"/>
      <c r="I37" s="1"/>
      <c r="J37" s="1"/>
      <c r="K37" s="1"/>
      <c r="L37" s="1"/>
      <c r="M37" s="1"/>
      <c r="N37" s="1"/>
      <c r="O37" s="1"/>
      <c r="P37" s="1"/>
      <c r="Q37" s="1"/>
      <c r="R37" s="1"/>
      <c r="S37" s="1"/>
      <c r="T37" s="1"/>
      <c r="U37" s="1"/>
      <c r="V37" s="1"/>
      <c r="W37" s="1"/>
      <c r="X37" s="1"/>
      <c r="Y37" s="1"/>
      <c r="Z37" s="1"/>
    </row>
    <row r="38" spans="1:26" ht="15.75">
      <c r="A38" s="1"/>
      <c r="B38" s="3" t="s">
        <v>104</v>
      </c>
      <c r="C38" s="1"/>
      <c r="D38" s="1"/>
      <c r="E38" s="1"/>
      <c r="F38" s="1"/>
      <c r="G38" s="1"/>
      <c r="H38" s="1"/>
      <c r="I38" s="1"/>
      <c r="J38" s="1"/>
      <c r="K38" s="1"/>
      <c r="L38" s="1"/>
      <c r="M38" s="1"/>
      <c r="N38" s="1"/>
      <c r="O38" s="1"/>
      <c r="P38" s="1"/>
      <c r="Q38" s="1"/>
      <c r="R38" s="1"/>
      <c r="S38" s="1"/>
      <c r="T38" s="1"/>
      <c r="U38" s="1"/>
      <c r="V38" s="1"/>
      <c r="W38" s="1"/>
      <c r="X38" s="1"/>
      <c r="Y38" s="1"/>
      <c r="Z38" s="1"/>
    </row>
    <row r="39" spans="1:26" ht="15.7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45.75">
      <c r="A40" s="1"/>
      <c r="B40" s="51" t="s">
        <v>203</v>
      </c>
      <c r="C40" s="1"/>
      <c r="D40" s="1"/>
      <c r="E40" s="1"/>
      <c r="F40" s="1"/>
      <c r="G40" s="1"/>
      <c r="H40" s="1"/>
      <c r="I40" s="1"/>
      <c r="J40" s="1"/>
      <c r="K40" s="1"/>
      <c r="L40" s="1"/>
      <c r="M40" s="1"/>
      <c r="N40" s="1"/>
      <c r="O40" s="1"/>
      <c r="P40" s="1"/>
      <c r="Q40" s="1"/>
      <c r="R40" s="1"/>
      <c r="S40" s="1"/>
      <c r="T40" s="1"/>
      <c r="U40" s="1"/>
      <c r="V40" s="1"/>
      <c r="W40" s="1"/>
      <c r="X40" s="1"/>
      <c r="Y40" s="1"/>
      <c r="Z40" s="1"/>
    </row>
    <row r="41" spans="1:26" ht="15.7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 r="A42" s="1"/>
      <c r="B42" s="3" t="s">
        <v>99</v>
      </c>
      <c r="C42" s="1"/>
      <c r="D42" s="1"/>
      <c r="E42" s="1"/>
      <c r="F42" s="1"/>
      <c r="G42" s="1"/>
      <c r="H42" s="1"/>
      <c r="I42" s="1"/>
      <c r="J42" s="1"/>
      <c r="K42" s="1"/>
      <c r="L42" s="1"/>
      <c r="M42" s="1"/>
      <c r="N42" s="1"/>
      <c r="O42" s="1"/>
      <c r="P42" s="1"/>
      <c r="Q42" s="1"/>
      <c r="R42" s="1"/>
      <c r="S42" s="1"/>
      <c r="T42" s="1"/>
      <c r="U42" s="1"/>
      <c r="V42" s="1"/>
      <c r="W42" s="1"/>
      <c r="X42" s="1"/>
      <c r="Y42" s="1"/>
      <c r="Z42" s="1"/>
    </row>
    <row r="43" spans="1:26" ht="15.7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45.75">
      <c r="A44" s="1"/>
      <c r="B44" s="51" t="s">
        <v>204</v>
      </c>
      <c r="C44" s="1"/>
      <c r="D44" s="1"/>
      <c r="E44" s="1"/>
      <c r="F44" s="1"/>
      <c r="G44" s="1"/>
      <c r="H44" s="1"/>
      <c r="I44" s="1"/>
      <c r="J44" s="1"/>
      <c r="K44" s="1"/>
      <c r="L44" s="1"/>
      <c r="M44" s="1"/>
      <c r="N44" s="1"/>
      <c r="O44" s="1"/>
      <c r="P44" s="1"/>
      <c r="Q44" s="1"/>
      <c r="R44" s="1"/>
      <c r="S44" s="1"/>
      <c r="T44" s="1"/>
      <c r="U44" s="1"/>
      <c r="V44" s="1"/>
      <c r="W44" s="1"/>
      <c r="X44" s="1"/>
      <c r="Y44" s="1"/>
      <c r="Z44" s="1"/>
    </row>
    <row r="45" spans="1:26" ht="15.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 r="A46" s="1"/>
      <c r="B46" s="3" t="s">
        <v>205</v>
      </c>
      <c r="C46" s="1"/>
      <c r="D46" s="1"/>
      <c r="E46" s="1"/>
      <c r="F46" s="1"/>
      <c r="G46" s="1"/>
      <c r="H46" s="1"/>
      <c r="I46" s="1"/>
      <c r="J46" s="1"/>
      <c r="K46" s="1"/>
      <c r="L46" s="1"/>
      <c r="M46" s="1"/>
      <c r="N46" s="1"/>
      <c r="O46" s="1"/>
      <c r="P46" s="1"/>
      <c r="Q46" s="1"/>
      <c r="R46" s="1"/>
      <c r="S46" s="1"/>
      <c r="T46" s="1"/>
      <c r="U46" s="1"/>
      <c r="V46" s="1"/>
      <c r="W46" s="1"/>
      <c r="X46" s="1"/>
      <c r="Y46" s="1"/>
      <c r="Z46" s="1"/>
    </row>
    <row r="47" spans="1:26" ht="15.75">
      <c r="A47" s="1"/>
      <c r="B47" s="51"/>
      <c r="C47" s="1"/>
      <c r="D47" s="1"/>
      <c r="E47" s="1"/>
      <c r="F47" s="1"/>
      <c r="G47" s="1"/>
      <c r="H47" s="1"/>
      <c r="I47" s="1"/>
      <c r="J47" s="1"/>
      <c r="K47" s="1"/>
      <c r="L47" s="1"/>
      <c r="M47" s="1"/>
      <c r="N47" s="1"/>
      <c r="O47" s="1"/>
      <c r="P47" s="1"/>
      <c r="Q47" s="1"/>
      <c r="R47" s="1"/>
      <c r="S47" s="1"/>
      <c r="T47" s="1"/>
      <c r="U47" s="1"/>
      <c r="V47" s="1"/>
      <c r="W47" s="1"/>
      <c r="X47" s="1"/>
      <c r="Y47" s="1"/>
      <c r="Z47" s="1"/>
    </row>
    <row r="48" spans="1:26" ht="30.75">
      <c r="A48" s="1"/>
      <c r="B48" s="51" t="s">
        <v>206</v>
      </c>
      <c r="C48" s="1"/>
      <c r="D48" s="1"/>
      <c r="E48" s="1"/>
      <c r="F48" s="1"/>
      <c r="G48" s="1"/>
      <c r="H48" s="1"/>
      <c r="I48" s="1"/>
      <c r="J48" s="1"/>
      <c r="K48" s="1"/>
      <c r="L48" s="1"/>
      <c r="M48" s="1"/>
      <c r="N48" s="1"/>
      <c r="O48" s="1"/>
      <c r="P48" s="1"/>
      <c r="Q48" s="1"/>
      <c r="R48" s="1"/>
      <c r="S48" s="1"/>
      <c r="T48" s="1"/>
      <c r="U48" s="1"/>
      <c r="V48" s="1"/>
      <c r="W48" s="1"/>
      <c r="X48" s="1"/>
      <c r="Y48" s="1"/>
      <c r="Z48" s="1"/>
    </row>
    <row r="49" spans="1:26" ht="15.75">
      <c r="A49" s="1"/>
      <c r="B49" s="51"/>
      <c r="C49" s="1"/>
      <c r="D49" s="1"/>
      <c r="E49" s="1"/>
      <c r="F49" s="1"/>
      <c r="G49" s="1"/>
      <c r="H49" s="1"/>
      <c r="I49" s="1"/>
      <c r="J49" s="1"/>
      <c r="K49" s="1"/>
      <c r="L49" s="1"/>
      <c r="M49" s="1"/>
      <c r="N49" s="1"/>
      <c r="O49" s="1"/>
      <c r="P49" s="1"/>
      <c r="Q49" s="1"/>
      <c r="R49" s="1"/>
      <c r="S49" s="1"/>
      <c r="T49" s="1"/>
      <c r="U49" s="1"/>
      <c r="V49" s="1"/>
      <c r="W49" s="1"/>
      <c r="X49" s="1"/>
      <c r="Y49" s="1"/>
      <c r="Z49" s="1"/>
    </row>
    <row r="50" spans="1:26" ht="15.75">
      <c r="A50" s="1"/>
      <c r="B50" s="52" t="s">
        <v>207</v>
      </c>
      <c r="C50" s="1"/>
      <c r="D50" s="1"/>
      <c r="E50" s="1"/>
      <c r="F50" s="1"/>
      <c r="G50" s="1"/>
      <c r="H50" s="1"/>
      <c r="I50" s="1"/>
      <c r="J50" s="1"/>
      <c r="K50" s="1"/>
      <c r="L50" s="1"/>
      <c r="M50" s="1"/>
      <c r="N50" s="1"/>
      <c r="O50" s="1"/>
      <c r="P50" s="1"/>
      <c r="Q50" s="1"/>
      <c r="R50" s="1"/>
      <c r="S50" s="1"/>
      <c r="T50" s="1"/>
      <c r="U50" s="1"/>
      <c r="V50" s="1"/>
      <c r="W50" s="1"/>
      <c r="X50" s="1"/>
      <c r="Y50" s="1"/>
      <c r="Z50" s="1"/>
    </row>
    <row r="51" spans="1:26" ht="15.75">
      <c r="A51" s="1"/>
      <c r="B51" s="51"/>
      <c r="C51" s="1"/>
      <c r="D51" s="1"/>
      <c r="E51" s="1"/>
      <c r="F51" s="1"/>
      <c r="G51" s="1"/>
      <c r="H51" s="1"/>
      <c r="I51" s="1"/>
      <c r="J51" s="1"/>
      <c r="K51" s="1"/>
      <c r="L51" s="1"/>
      <c r="M51" s="1"/>
      <c r="N51" s="1"/>
      <c r="O51" s="1"/>
      <c r="P51" s="1"/>
      <c r="Q51" s="1"/>
      <c r="R51" s="1"/>
      <c r="S51" s="1"/>
      <c r="T51" s="1"/>
      <c r="U51" s="1"/>
      <c r="V51" s="1"/>
      <c r="W51" s="1"/>
      <c r="X51" s="1"/>
      <c r="Y51" s="1"/>
      <c r="Z51" s="1"/>
    </row>
    <row r="52" spans="1:26" ht="15.75">
      <c r="A52" s="1"/>
      <c r="B52" s="51" t="s">
        <v>208</v>
      </c>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5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5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5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4"/>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30.75">
      <c r="A87" s="1"/>
      <c r="B87" s="51" t="s">
        <v>209</v>
      </c>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3" t="s">
        <v>210</v>
      </c>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 r="A165" s="1"/>
      <c r="B165" s="1" t="s">
        <v>211</v>
      </c>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sheetData>
  <pageMargins left="0" right="0" top="0" bottom="0" header="0" footer="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2"/>
  <sheetViews>
    <sheetView showGridLines="0" workbookViewId="0"/>
  </sheetViews>
  <sheetFormatPr defaultColWidth="14.42578125" defaultRowHeight="15" customHeight="1"/>
  <cols>
    <col min="2" max="2" width="50" customWidth="1"/>
    <col min="3" max="3" width="19.85546875" customWidth="1"/>
    <col min="4" max="4" width="5.42578125" customWidth="1"/>
    <col min="5" max="5" width="11.7109375" customWidth="1"/>
    <col min="6" max="6" width="59" customWidth="1"/>
  </cols>
  <sheetData>
    <row r="1" spans="1:24">
      <c r="A1" s="1"/>
      <c r="B1" s="1"/>
      <c r="C1" s="1"/>
      <c r="D1" s="1"/>
      <c r="E1" s="1"/>
      <c r="F1" s="1"/>
      <c r="G1" s="1"/>
      <c r="H1" s="1"/>
      <c r="I1" s="1"/>
      <c r="J1" s="1"/>
      <c r="K1" s="1"/>
      <c r="L1" s="1"/>
      <c r="M1" s="1"/>
      <c r="N1" s="1"/>
      <c r="O1" s="1"/>
      <c r="P1" s="1"/>
      <c r="Q1" s="1"/>
      <c r="R1" s="1"/>
      <c r="S1" s="1"/>
      <c r="T1" s="1"/>
      <c r="U1" s="1"/>
      <c r="V1" s="1"/>
      <c r="W1" s="1"/>
      <c r="X1" s="1"/>
    </row>
    <row r="2" spans="1:24">
      <c r="A2" s="1"/>
      <c r="B2" s="3" t="s">
        <v>212</v>
      </c>
      <c r="C2" s="1"/>
      <c r="D2" s="1"/>
      <c r="E2" s="1"/>
      <c r="F2" s="1"/>
      <c r="G2" s="1"/>
      <c r="H2" s="1"/>
      <c r="I2" s="1"/>
      <c r="J2" s="1"/>
      <c r="K2" s="1"/>
      <c r="L2" s="1"/>
      <c r="M2" s="1"/>
      <c r="N2" s="1"/>
      <c r="O2" s="1"/>
      <c r="P2" s="1"/>
      <c r="Q2" s="1"/>
      <c r="R2" s="1"/>
      <c r="S2" s="1"/>
      <c r="T2" s="1"/>
      <c r="U2" s="1"/>
      <c r="V2" s="1"/>
      <c r="W2" s="1"/>
      <c r="X2" s="1"/>
    </row>
    <row r="3" spans="1:24">
      <c r="A3" s="1"/>
      <c r="B3" s="1"/>
      <c r="C3" s="1"/>
      <c r="D3" s="1"/>
      <c r="E3" s="1"/>
      <c r="F3" s="1"/>
      <c r="G3" s="1"/>
      <c r="H3" s="1"/>
      <c r="I3" s="1"/>
      <c r="J3" s="1"/>
      <c r="K3" s="1"/>
      <c r="L3" s="1"/>
      <c r="M3" s="1"/>
      <c r="N3" s="1"/>
      <c r="O3" s="1"/>
      <c r="P3" s="1"/>
      <c r="Q3" s="1"/>
      <c r="R3" s="1"/>
      <c r="S3" s="1"/>
      <c r="T3" s="1"/>
      <c r="U3" s="1"/>
      <c r="V3" s="1"/>
      <c r="W3" s="1"/>
      <c r="X3" s="1"/>
    </row>
    <row r="4" spans="1:24">
      <c r="A4" s="1"/>
      <c r="B4" s="1" t="s">
        <v>213</v>
      </c>
      <c r="C4" s="12">
        <f>'Budget Summary'!F33</f>
        <v>0</v>
      </c>
      <c r="D4" s="1"/>
      <c r="E4" s="1" t="s">
        <v>214</v>
      </c>
      <c r="F4" s="1" t="s">
        <v>215</v>
      </c>
      <c r="G4" s="1"/>
      <c r="H4" s="1"/>
      <c r="I4" s="1"/>
      <c r="J4" s="1"/>
      <c r="K4" s="1"/>
      <c r="L4" s="1"/>
      <c r="M4" s="1"/>
      <c r="N4" s="1"/>
      <c r="O4" s="1"/>
      <c r="P4" s="1"/>
      <c r="Q4" s="1"/>
      <c r="R4" s="1"/>
      <c r="S4" s="1"/>
      <c r="T4" s="1"/>
      <c r="U4" s="1"/>
      <c r="V4" s="1"/>
      <c r="W4" s="1"/>
      <c r="X4" s="1"/>
    </row>
    <row r="5" spans="1:24">
      <c r="A5" s="1"/>
      <c r="B5" s="1" t="s">
        <v>216</v>
      </c>
      <c r="C5" s="12">
        <f>'Budget Summary'!F82</f>
        <v>0</v>
      </c>
      <c r="D5" s="1"/>
      <c r="E5" s="1" t="s">
        <v>214</v>
      </c>
      <c r="F5" s="1" t="s">
        <v>215</v>
      </c>
      <c r="G5" s="1"/>
      <c r="H5" s="1"/>
      <c r="I5" s="1"/>
      <c r="J5" s="1"/>
      <c r="K5" s="1"/>
      <c r="L5" s="1"/>
      <c r="M5" s="1"/>
      <c r="N5" s="1"/>
      <c r="O5" s="1"/>
      <c r="P5" s="1"/>
      <c r="Q5" s="1"/>
      <c r="R5" s="1"/>
      <c r="S5" s="1"/>
      <c r="T5" s="1"/>
      <c r="U5" s="1"/>
      <c r="V5" s="1"/>
      <c r="W5" s="1"/>
      <c r="X5" s="1"/>
    </row>
    <row r="6" spans="1:24">
      <c r="A6" s="1"/>
      <c r="B6" s="1" t="s">
        <v>217</v>
      </c>
      <c r="C6" s="12">
        <f>'Budget Summary'!F92-C5</f>
        <v>0</v>
      </c>
      <c r="D6" s="1"/>
      <c r="E6" s="1" t="s">
        <v>218</v>
      </c>
      <c r="F6" s="1" t="s">
        <v>219</v>
      </c>
      <c r="G6" s="1"/>
      <c r="H6" s="1"/>
      <c r="I6" s="1"/>
      <c r="J6" s="1"/>
      <c r="K6" s="1"/>
      <c r="L6" s="1"/>
      <c r="M6" s="1"/>
      <c r="N6" s="1"/>
      <c r="O6" s="1"/>
      <c r="P6" s="1"/>
      <c r="Q6" s="1"/>
      <c r="R6" s="1"/>
      <c r="S6" s="1"/>
      <c r="T6" s="1"/>
      <c r="U6" s="1"/>
      <c r="V6" s="1"/>
      <c r="W6" s="1"/>
      <c r="X6" s="1"/>
    </row>
    <row r="7" spans="1:24">
      <c r="A7" s="1"/>
      <c r="B7" s="1" t="s">
        <v>104</v>
      </c>
      <c r="C7" s="12">
        <f>'Budget Summary'!F106</f>
        <v>0</v>
      </c>
      <c r="D7" s="1"/>
      <c r="E7" s="1" t="s">
        <v>214</v>
      </c>
      <c r="F7" s="1" t="s">
        <v>215</v>
      </c>
      <c r="G7" s="1"/>
      <c r="H7" s="1"/>
      <c r="I7" s="1"/>
      <c r="J7" s="1"/>
      <c r="K7" s="1"/>
      <c r="L7" s="1"/>
      <c r="M7" s="1"/>
      <c r="N7" s="1"/>
      <c r="O7" s="1"/>
      <c r="P7" s="1"/>
      <c r="Q7" s="1"/>
      <c r="R7" s="1"/>
      <c r="S7" s="1"/>
      <c r="T7" s="1"/>
      <c r="U7" s="1"/>
      <c r="V7" s="1"/>
      <c r="W7" s="1"/>
      <c r="X7" s="1"/>
    </row>
    <row r="8" spans="1:24">
      <c r="A8" s="1"/>
      <c r="B8" s="1" t="s">
        <v>108</v>
      </c>
      <c r="C8" s="12">
        <f>'Budget Summary'!F121</f>
        <v>0</v>
      </c>
      <c r="D8" s="1"/>
      <c r="E8" s="1" t="s">
        <v>214</v>
      </c>
      <c r="F8" s="1" t="s">
        <v>215</v>
      </c>
      <c r="G8" s="1"/>
      <c r="H8" s="1"/>
      <c r="I8" s="1"/>
      <c r="J8" s="1"/>
      <c r="K8" s="1"/>
      <c r="L8" s="1"/>
      <c r="M8" s="1"/>
      <c r="N8" s="1"/>
      <c r="O8" s="1"/>
      <c r="P8" s="1"/>
      <c r="Q8" s="1"/>
      <c r="R8" s="1"/>
      <c r="S8" s="1"/>
      <c r="T8" s="1"/>
      <c r="U8" s="1"/>
      <c r="V8" s="1"/>
      <c r="W8" s="1"/>
      <c r="X8" s="1"/>
    </row>
    <row r="9" spans="1:24">
      <c r="A9" s="1"/>
      <c r="B9" s="1" t="s">
        <v>117</v>
      </c>
      <c r="C9" s="12">
        <f>'Budget Summary'!F131</f>
        <v>0</v>
      </c>
      <c r="D9" s="1"/>
      <c r="E9" s="1" t="s">
        <v>220</v>
      </c>
      <c r="F9" s="1" t="s">
        <v>221</v>
      </c>
      <c r="G9" s="1"/>
      <c r="H9" s="1"/>
      <c r="I9" s="1"/>
      <c r="J9" s="1"/>
      <c r="K9" s="1"/>
      <c r="L9" s="1"/>
      <c r="M9" s="1"/>
      <c r="N9" s="1"/>
      <c r="O9" s="1"/>
      <c r="P9" s="1"/>
      <c r="Q9" s="1"/>
      <c r="R9" s="1"/>
      <c r="S9" s="1"/>
      <c r="T9" s="1"/>
      <c r="U9" s="1"/>
      <c r="V9" s="1"/>
      <c r="W9" s="1"/>
      <c r="X9" s="1"/>
    </row>
    <row r="10" spans="1:24">
      <c r="A10" s="1"/>
      <c r="B10" s="1" t="s">
        <v>121</v>
      </c>
      <c r="C10" s="14">
        <f>'Budget Summary'!F160</f>
        <v>0</v>
      </c>
      <c r="D10" s="1"/>
      <c r="E10" s="1" t="s">
        <v>222</v>
      </c>
      <c r="F10" s="1" t="s">
        <v>223</v>
      </c>
      <c r="G10" s="1"/>
      <c r="H10" s="1"/>
      <c r="I10" s="1"/>
      <c r="J10" s="1"/>
      <c r="K10" s="1"/>
      <c r="L10" s="1"/>
      <c r="M10" s="1"/>
      <c r="N10" s="1"/>
      <c r="O10" s="1"/>
      <c r="P10" s="1"/>
      <c r="Q10" s="1"/>
      <c r="R10" s="1"/>
      <c r="S10" s="1"/>
      <c r="T10" s="1"/>
      <c r="U10" s="1"/>
      <c r="V10" s="1"/>
      <c r="W10" s="1"/>
      <c r="X10" s="1"/>
    </row>
    <row r="11" spans="1:24">
      <c r="A11" s="1"/>
      <c r="B11" s="1" t="s">
        <v>133</v>
      </c>
      <c r="C11" s="12">
        <f>'Budget Summary'!F170</f>
        <v>0</v>
      </c>
      <c r="D11" s="1"/>
      <c r="E11" s="1" t="s">
        <v>224</v>
      </c>
      <c r="F11" s="1" t="s">
        <v>223</v>
      </c>
      <c r="G11" s="1"/>
      <c r="H11" s="1"/>
      <c r="I11" s="1"/>
      <c r="J11" s="1"/>
      <c r="K11" s="1"/>
      <c r="L11" s="1"/>
      <c r="M11" s="1"/>
      <c r="N11" s="1"/>
      <c r="O11" s="1"/>
      <c r="P11" s="1"/>
      <c r="Q11" s="1"/>
      <c r="R11" s="1"/>
      <c r="S11" s="1"/>
      <c r="T11" s="1"/>
      <c r="U11" s="1"/>
      <c r="V11" s="1"/>
      <c r="W11" s="1"/>
      <c r="X11" s="1"/>
    </row>
    <row r="12" spans="1:24">
      <c r="A12" s="1"/>
      <c r="B12" s="1" t="s">
        <v>137</v>
      </c>
      <c r="C12" s="12">
        <f>'Budget Summary'!F185</f>
        <v>0</v>
      </c>
      <c r="D12" s="1"/>
      <c r="E12" s="1" t="s">
        <v>222</v>
      </c>
      <c r="F12" s="1" t="s">
        <v>223</v>
      </c>
      <c r="G12" s="1"/>
      <c r="H12" s="1"/>
      <c r="I12" s="1"/>
      <c r="J12" s="1"/>
      <c r="K12" s="1"/>
      <c r="L12" s="1"/>
      <c r="M12" s="1"/>
      <c r="N12" s="1"/>
      <c r="O12" s="1"/>
      <c r="P12" s="1"/>
      <c r="Q12" s="1"/>
      <c r="R12" s="1"/>
      <c r="S12" s="1"/>
      <c r="T12" s="1"/>
      <c r="U12" s="1"/>
      <c r="V12" s="1"/>
      <c r="W12" s="1"/>
      <c r="X12" s="1"/>
    </row>
    <row r="13" spans="1:24">
      <c r="A13" s="1"/>
      <c r="B13" s="1" t="s">
        <v>143</v>
      </c>
      <c r="C13" s="12">
        <f>'Budget Summary'!F187</f>
        <v>0</v>
      </c>
      <c r="D13" s="1"/>
      <c r="E13" s="1" t="s">
        <v>225</v>
      </c>
      <c r="F13" s="1" t="s">
        <v>226</v>
      </c>
      <c r="G13" s="1"/>
      <c r="H13" s="1"/>
      <c r="I13" s="1"/>
      <c r="J13" s="1"/>
      <c r="K13" s="1"/>
      <c r="L13" s="1"/>
      <c r="M13" s="1"/>
      <c r="N13" s="1"/>
      <c r="O13" s="1"/>
      <c r="P13" s="1"/>
      <c r="Q13" s="1"/>
      <c r="R13" s="1"/>
      <c r="S13" s="1"/>
      <c r="T13" s="1"/>
      <c r="U13" s="1"/>
      <c r="V13" s="1"/>
      <c r="W13" s="1"/>
      <c r="X13" s="1"/>
    </row>
    <row r="14" spans="1:24">
      <c r="A14" s="1"/>
      <c r="B14" s="1" t="s">
        <v>145</v>
      </c>
      <c r="C14" s="12">
        <f>'Budget Summary'!F188</f>
        <v>0</v>
      </c>
      <c r="D14" s="1"/>
      <c r="E14" s="1" t="s">
        <v>224</v>
      </c>
      <c r="F14" s="1" t="s">
        <v>223</v>
      </c>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3" t="s">
        <v>227</v>
      </c>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t="s">
        <v>65</v>
      </c>
      <c r="C18" s="12">
        <f>'Budget Summary'!F27</f>
        <v>0</v>
      </c>
      <c r="D18" s="1"/>
      <c r="E18" s="1" t="s">
        <v>228</v>
      </c>
      <c r="F18" s="1" t="s">
        <v>229</v>
      </c>
      <c r="G18" s="1"/>
      <c r="H18" s="1"/>
      <c r="I18" s="1"/>
      <c r="J18" s="1"/>
      <c r="K18" s="1"/>
      <c r="L18" s="1"/>
      <c r="M18" s="1"/>
      <c r="N18" s="1"/>
      <c r="O18" s="1"/>
      <c r="P18" s="1"/>
      <c r="Q18" s="1"/>
      <c r="R18" s="1"/>
      <c r="S18" s="1"/>
      <c r="T18" s="1"/>
      <c r="U18" s="1"/>
      <c r="V18" s="1"/>
      <c r="W18" s="1"/>
      <c r="X18" s="1"/>
    </row>
    <row r="19" spans="1:24">
      <c r="A19" s="1"/>
      <c r="B19" s="1" t="s">
        <v>76</v>
      </c>
      <c r="C19" s="12">
        <f>'Budget Summary'!F59</f>
        <v>0</v>
      </c>
      <c r="D19" s="1"/>
      <c r="E19" s="1" t="s">
        <v>230</v>
      </c>
      <c r="F19" s="1" t="s">
        <v>231</v>
      </c>
      <c r="G19" s="1"/>
      <c r="H19" s="1"/>
      <c r="I19" s="1"/>
      <c r="J19" s="1"/>
      <c r="K19" s="1"/>
      <c r="L19" s="1"/>
      <c r="M19" s="1"/>
      <c r="N19" s="1"/>
      <c r="O19" s="1"/>
      <c r="P19" s="1"/>
      <c r="Q19" s="1"/>
      <c r="R19" s="1"/>
      <c r="S19" s="1"/>
      <c r="T19" s="1"/>
      <c r="U19" s="1"/>
      <c r="V19" s="1"/>
      <c r="W19" s="1"/>
      <c r="X19" s="1"/>
    </row>
    <row r="20" spans="1:24">
      <c r="A20" s="1"/>
      <c r="B20" s="1" t="s">
        <v>77</v>
      </c>
      <c r="C20" s="12">
        <f>'Budget Summary'!F60</f>
        <v>0</v>
      </c>
      <c r="D20" s="1"/>
      <c r="E20" s="1" t="s">
        <v>232</v>
      </c>
      <c r="F20" s="1" t="s">
        <v>233</v>
      </c>
      <c r="G20" s="1"/>
      <c r="H20" s="1"/>
      <c r="I20" s="1"/>
      <c r="J20" s="1"/>
      <c r="K20" s="1"/>
      <c r="L20" s="1"/>
      <c r="M20" s="1"/>
      <c r="N20" s="1"/>
      <c r="O20" s="1"/>
      <c r="P20" s="1"/>
      <c r="Q20" s="1"/>
      <c r="R20" s="1"/>
      <c r="S20" s="1"/>
      <c r="T20" s="1"/>
      <c r="U20" s="1"/>
      <c r="V20" s="1"/>
      <c r="W20" s="1"/>
      <c r="X20" s="1"/>
    </row>
    <row r="21" spans="1:24">
      <c r="A21" s="1"/>
      <c r="B21" s="1" t="s">
        <v>78</v>
      </c>
      <c r="C21" s="12">
        <f>'Budget Summary'!F61</f>
        <v>0</v>
      </c>
      <c r="D21" s="1"/>
      <c r="E21" s="1" t="s">
        <v>234</v>
      </c>
      <c r="F21" s="1" t="s">
        <v>235</v>
      </c>
      <c r="G21" s="1"/>
      <c r="H21" s="1"/>
      <c r="I21" s="1"/>
      <c r="J21" s="1"/>
      <c r="K21" s="1"/>
      <c r="L21" s="1"/>
      <c r="M21" s="1"/>
      <c r="N21" s="1"/>
      <c r="O21" s="1"/>
      <c r="P21" s="1"/>
      <c r="Q21" s="1"/>
      <c r="R21" s="1"/>
      <c r="S21" s="1"/>
      <c r="T21" s="1"/>
      <c r="U21" s="1"/>
      <c r="V21" s="1"/>
      <c r="W21" s="1"/>
      <c r="X21" s="1"/>
    </row>
    <row r="22" spans="1:24">
      <c r="A22" s="1"/>
      <c r="B22" s="1" t="s">
        <v>79</v>
      </c>
      <c r="C22" s="12">
        <f>'Budget Summary'!F62</f>
        <v>0</v>
      </c>
      <c r="D22" s="1"/>
      <c r="E22" s="1" t="s">
        <v>236</v>
      </c>
      <c r="F22" s="1" t="s">
        <v>237</v>
      </c>
      <c r="G22" s="1"/>
      <c r="H22" s="1"/>
      <c r="I22" s="1"/>
      <c r="J22" s="1"/>
      <c r="K22" s="1"/>
      <c r="L22" s="1"/>
      <c r="M22" s="1"/>
      <c r="N22" s="1"/>
      <c r="O22" s="1"/>
      <c r="P22" s="1"/>
      <c r="Q22" s="1"/>
      <c r="R22" s="1"/>
      <c r="S22" s="1"/>
      <c r="T22" s="1"/>
      <c r="U22" s="1"/>
      <c r="V22" s="1"/>
      <c r="W22" s="1"/>
      <c r="X22" s="1"/>
    </row>
    <row r="23" spans="1:24">
      <c r="A23" s="1"/>
      <c r="B23" s="1" t="s">
        <v>80</v>
      </c>
      <c r="C23" s="12">
        <f>'Budget Summary'!F63</f>
        <v>0</v>
      </c>
      <c r="D23" s="1"/>
      <c r="E23" s="1" t="s">
        <v>238</v>
      </c>
      <c r="F23" s="1" t="s">
        <v>239</v>
      </c>
      <c r="G23" s="1"/>
      <c r="H23" s="1"/>
      <c r="I23" s="1"/>
      <c r="J23" s="1"/>
      <c r="K23" s="1"/>
      <c r="L23" s="1"/>
      <c r="M23" s="1"/>
      <c r="N23" s="1"/>
      <c r="O23" s="1"/>
      <c r="P23" s="1"/>
      <c r="Q23" s="1"/>
      <c r="R23" s="1"/>
      <c r="S23" s="1"/>
      <c r="T23" s="1"/>
      <c r="U23" s="1"/>
      <c r="V23" s="1"/>
      <c r="W23" s="1"/>
      <c r="X23" s="1"/>
    </row>
    <row r="24" spans="1:24">
      <c r="A24" s="1"/>
      <c r="B24" s="1" t="s">
        <v>81</v>
      </c>
      <c r="C24" s="12">
        <f>'Budget Summary'!F64</f>
        <v>0</v>
      </c>
      <c r="D24" s="1"/>
      <c r="E24" s="1" t="s">
        <v>232</v>
      </c>
      <c r="F24" s="1" t="s">
        <v>233</v>
      </c>
      <c r="G24" s="1"/>
      <c r="H24" s="1"/>
      <c r="I24" s="1"/>
      <c r="J24" s="1"/>
      <c r="K24" s="1"/>
      <c r="L24" s="1"/>
      <c r="M24" s="1"/>
      <c r="N24" s="1"/>
      <c r="O24" s="1"/>
      <c r="P24" s="1"/>
      <c r="Q24" s="1"/>
      <c r="R24" s="1"/>
      <c r="S24" s="1"/>
      <c r="T24" s="1"/>
      <c r="U24" s="1"/>
      <c r="V24" s="1"/>
      <c r="W24" s="1"/>
      <c r="X24" s="1"/>
    </row>
    <row r="25" spans="1:24">
      <c r="A25" s="1"/>
      <c r="B25" s="1"/>
      <c r="C25" s="1"/>
      <c r="D25" s="1"/>
      <c r="E25" s="1"/>
      <c r="F25" s="1"/>
      <c r="G25" s="1"/>
      <c r="H25" s="1"/>
      <c r="I25" s="1"/>
      <c r="J25" s="1"/>
      <c r="K25" s="1"/>
      <c r="L25" s="1"/>
      <c r="M25" s="1"/>
      <c r="N25" s="1"/>
      <c r="O25" s="1"/>
      <c r="P25" s="1"/>
      <c r="Q25" s="1"/>
      <c r="R25" s="1"/>
      <c r="S25" s="1"/>
      <c r="T25" s="1"/>
      <c r="U25" s="1"/>
      <c r="V25" s="1"/>
      <c r="W25" s="1"/>
      <c r="X25" s="1"/>
    </row>
    <row r="26" spans="1:24">
      <c r="A26" s="1"/>
      <c r="B26" s="1"/>
      <c r="C26" s="1"/>
      <c r="D26" s="1"/>
      <c r="E26" s="1"/>
      <c r="F26" s="1"/>
      <c r="G26" s="1"/>
      <c r="H26" s="1"/>
      <c r="I26" s="1"/>
      <c r="J26" s="1"/>
      <c r="K26" s="1"/>
      <c r="L26" s="1"/>
      <c r="M26" s="1"/>
      <c r="N26" s="1"/>
      <c r="O26" s="1"/>
      <c r="P26" s="1"/>
      <c r="Q26" s="1"/>
      <c r="R26" s="1"/>
      <c r="S26" s="1"/>
      <c r="T26" s="1"/>
      <c r="U26" s="1"/>
      <c r="V26" s="1"/>
      <c r="W26" s="1"/>
      <c r="X26" s="1"/>
    </row>
    <row r="27" spans="1:24">
      <c r="A27" s="1"/>
      <c r="B27" s="1"/>
      <c r="C27" s="1"/>
      <c r="D27" s="1"/>
      <c r="E27" s="1"/>
      <c r="F27" s="1"/>
      <c r="G27" s="1"/>
      <c r="H27" s="1"/>
      <c r="I27" s="1"/>
      <c r="J27" s="1"/>
      <c r="K27" s="1"/>
      <c r="L27" s="1"/>
      <c r="M27" s="1"/>
      <c r="N27" s="1"/>
      <c r="O27" s="1"/>
      <c r="P27" s="1"/>
      <c r="Q27" s="1"/>
      <c r="R27" s="1"/>
      <c r="S27" s="1"/>
      <c r="T27" s="1"/>
      <c r="U27" s="1"/>
      <c r="V27" s="1"/>
      <c r="W27" s="1"/>
      <c r="X27" s="1"/>
    </row>
    <row r="28" spans="1:24">
      <c r="A28" s="1"/>
      <c r="B28" s="1"/>
      <c r="C28" s="1"/>
      <c r="D28" s="1"/>
      <c r="E28" s="1"/>
      <c r="F28" s="1"/>
      <c r="G28" s="1"/>
      <c r="H28" s="1"/>
      <c r="I28" s="1"/>
      <c r="J28" s="1"/>
      <c r="K28" s="1"/>
      <c r="L28" s="1"/>
      <c r="M28" s="1"/>
      <c r="N28" s="1"/>
      <c r="O28" s="1"/>
      <c r="P28" s="1"/>
      <c r="Q28" s="1"/>
      <c r="R28" s="1"/>
      <c r="S28" s="1"/>
      <c r="T28" s="1"/>
      <c r="U28" s="1"/>
      <c r="V28" s="1"/>
      <c r="W28" s="1"/>
      <c r="X28" s="1"/>
    </row>
    <row r="29" spans="1:24">
      <c r="A29" s="1"/>
      <c r="B29" s="1"/>
      <c r="C29" s="1"/>
      <c r="D29" s="1"/>
      <c r="E29" s="1"/>
      <c r="F29" s="1"/>
      <c r="G29" s="1"/>
      <c r="H29" s="1"/>
      <c r="I29" s="1"/>
      <c r="J29" s="1"/>
      <c r="K29" s="1"/>
      <c r="L29" s="1"/>
      <c r="M29" s="1"/>
      <c r="N29" s="1"/>
      <c r="O29" s="1"/>
      <c r="P29" s="1"/>
      <c r="Q29" s="1"/>
      <c r="R29" s="1"/>
      <c r="S29" s="1"/>
      <c r="T29" s="1"/>
      <c r="U29" s="1"/>
      <c r="V29" s="1"/>
      <c r="W29" s="1"/>
      <c r="X29" s="1"/>
    </row>
    <row r="30" spans="1:24">
      <c r="A30" s="1"/>
      <c r="B30" s="1"/>
      <c r="C30" s="1"/>
      <c r="D30" s="1"/>
      <c r="E30" s="1"/>
      <c r="F30" s="1"/>
      <c r="G30" s="1"/>
      <c r="H30" s="1"/>
      <c r="I30" s="1"/>
      <c r="J30" s="1"/>
      <c r="K30" s="1"/>
      <c r="L30" s="1"/>
      <c r="M30" s="1"/>
      <c r="N30" s="1"/>
      <c r="O30" s="1"/>
      <c r="P30" s="1"/>
      <c r="Q30" s="1"/>
      <c r="R30" s="1"/>
      <c r="S30" s="1"/>
      <c r="T30" s="1"/>
      <c r="U30" s="1"/>
      <c r="V30" s="1"/>
      <c r="W30" s="1"/>
      <c r="X30" s="1"/>
    </row>
    <row r="31" spans="1:24">
      <c r="A31" s="1"/>
      <c r="B31" s="1"/>
      <c r="C31" s="1"/>
      <c r="D31" s="1"/>
      <c r="E31" s="1"/>
      <c r="F31" s="1"/>
      <c r="G31" s="1"/>
      <c r="H31" s="1"/>
      <c r="I31" s="1"/>
      <c r="J31" s="1"/>
      <c r="K31" s="1"/>
      <c r="L31" s="1"/>
      <c r="M31" s="1"/>
      <c r="N31" s="1"/>
      <c r="O31" s="1"/>
      <c r="P31" s="1"/>
      <c r="Q31" s="1"/>
      <c r="R31" s="1"/>
      <c r="S31" s="1"/>
      <c r="T31" s="1"/>
      <c r="U31" s="1"/>
      <c r="V31" s="1"/>
      <c r="W31" s="1"/>
      <c r="X31" s="1"/>
    </row>
    <row r="32" spans="1:24">
      <c r="A32" s="1"/>
      <c r="B32" s="1"/>
      <c r="C32" s="1"/>
      <c r="D32" s="1"/>
      <c r="E32" s="1"/>
      <c r="F32" s="1"/>
      <c r="G32" s="1"/>
      <c r="H32" s="1"/>
      <c r="I32" s="1"/>
      <c r="J32" s="1"/>
      <c r="K32" s="1"/>
      <c r="L32" s="1"/>
      <c r="M32" s="1"/>
      <c r="N32" s="1"/>
      <c r="O32" s="1"/>
      <c r="P32" s="1"/>
      <c r="Q32" s="1"/>
      <c r="R32" s="1"/>
      <c r="S32" s="1"/>
      <c r="T32" s="1"/>
      <c r="U32" s="1"/>
      <c r="V32" s="1"/>
      <c r="W32" s="1"/>
      <c r="X32" s="1"/>
    </row>
    <row r="33" spans="1:24">
      <c r="A33" s="1"/>
      <c r="B33" s="1"/>
      <c r="C33" s="1"/>
      <c r="D33" s="1"/>
      <c r="E33" s="1"/>
      <c r="F33" s="1"/>
      <c r="G33" s="1"/>
      <c r="H33" s="1"/>
      <c r="I33" s="1"/>
      <c r="J33" s="1"/>
      <c r="K33" s="1"/>
      <c r="L33" s="1"/>
      <c r="M33" s="1"/>
      <c r="N33" s="1"/>
      <c r="O33" s="1"/>
      <c r="P33" s="1"/>
      <c r="Q33" s="1"/>
      <c r="R33" s="1"/>
      <c r="S33" s="1"/>
      <c r="T33" s="1"/>
      <c r="U33" s="1"/>
      <c r="V33" s="1"/>
      <c r="W33" s="1"/>
      <c r="X33" s="1"/>
    </row>
    <row r="34" spans="1:24">
      <c r="A34" s="1"/>
      <c r="B34" s="1"/>
      <c r="C34" s="1"/>
      <c r="D34" s="1"/>
      <c r="E34" s="1"/>
      <c r="F34" s="1"/>
      <c r="G34" s="1"/>
      <c r="H34" s="1"/>
      <c r="I34" s="1"/>
      <c r="J34" s="1"/>
      <c r="K34" s="1"/>
      <c r="L34" s="1"/>
      <c r="M34" s="1"/>
      <c r="N34" s="1"/>
      <c r="O34" s="1"/>
      <c r="P34" s="1"/>
      <c r="Q34" s="1"/>
      <c r="R34" s="1"/>
      <c r="S34" s="1"/>
      <c r="T34" s="1"/>
      <c r="U34" s="1"/>
      <c r="V34" s="1"/>
      <c r="W34" s="1"/>
      <c r="X34" s="1"/>
    </row>
    <row r="35" spans="1:24">
      <c r="A35" s="1"/>
      <c r="B35" s="1"/>
      <c r="C35" s="1"/>
      <c r="D35" s="1"/>
      <c r="E35" s="1"/>
      <c r="F35" s="1"/>
      <c r="G35" s="1"/>
      <c r="H35" s="1"/>
      <c r="I35" s="1"/>
      <c r="J35" s="1"/>
      <c r="K35" s="1"/>
      <c r="L35" s="1"/>
      <c r="M35" s="1"/>
      <c r="N35" s="1"/>
      <c r="O35" s="1"/>
      <c r="P35" s="1"/>
      <c r="Q35" s="1"/>
      <c r="R35" s="1"/>
      <c r="S35" s="1"/>
      <c r="T35" s="1"/>
      <c r="U35" s="1"/>
      <c r="V35" s="1"/>
      <c r="W35" s="1"/>
      <c r="X35" s="1"/>
    </row>
    <row r="36" spans="1:24">
      <c r="A36" s="1"/>
      <c r="B36" s="1"/>
      <c r="C36" s="1"/>
      <c r="D36" s="1"/>
      <c r="E36" s="1"/>
      <c r="F36" s="1"/>
      <c r="G36" s="1"/>
      <c r="H36" s="1"/>
      <c r="I36" s="1"/>
      <c r="J36" s="1"/>
      <c r="K36" s="1"/>
      <c r="L36" s="1"/>
      <c r="M36" s="1"/>
      <c r="N36" s="1"/>
      <c r="O36" s="1"/>
      <c r="P36" s="1"/>
      <c r="Q36" s="1"/>
      <c r="R36" s="1"/>
      <c r="S36" s="1"/>
      <c r="T36" s="1"/>
      <c r="U36" s="1"/>
      <c r="V36" s="1"/>
      <c r="W36" s="1"/>
      <c r="X36" s="1"/>
    </row>
    <row r="37" spans="1:24">
      <c r="A37" s="1"/>
      <c r="B37" s="1"/>
      <c r="C37" s="1"/>
      <c r="D37" s="1"/>
      <c r="E37" s="1"/>
      <c r="F37" s="1"/>
      <c r="G37" s="1"/>
      <c r="H37" s="1"/>
      <c r="I37" s="1"/>
      <c r="J37" s="1"/>
      <c r="K37" s="1"/>
      <c r="L37" s="1"/>
      <c r="M37" s="1"/>
      <c r="N37" s="1"/>
      <c r="O37" s="1"/>
      <c r="P37" s="1"/>
      <c r="Q37" s="1"/>
      <c r="R37" s="1"/>
      <c r="S37" s="1"/>
      <c r="T37" s="1"/>
      <c r="U37" s="1"/>
      <c r="V37" s="1"/>
      <c r="W37" s="1"/>
      <c r="X37" s="1"/>
    </row>
    <row r="38" spans="1:24">
      <c r="A38" s="1"/>
      <c r="B38" s="1"/>
      <c r="C38" s="1"/>
      <c r="D38" s="1"/>
      <c r="E38" s="1"/>
      <c r="F38" s="1"/>
      <c r="G38" s="1"/>
      <c r="H38" s="1"/>
      <c r="I38" s="1"/>
      <c r="J38" s="1"/>
      <c r="K38" s="1"/>
      <c r="L38" s="1"/>
      <c r="M38" s="1"/>
      <c r="N38" s="1"/>
      <c r="O38" s="1"/>
      <c r="P38" s="1"/>
      <c r="Q38" s="1"/>
      <c r="R38" s="1"/>
      <c r="S38" s="1"/>
      <c r="T38" s="1"/>
      <c r="U38" s="1"/>
      <c r="V38" s="1"/>
      <c r="W38" s="1"/>
      <c r="X38" s="1"/>
    </row>
    <row r="39" spans="1:24">
      <c r="A39" s="1"/>
      <c r="B39" s="1"/>
      <c r="C39" s="1"/>
      <c r="D39" s="1"/>
      <c r="E39" s="1"/>
      <c r="F39" s="1"/>
      <c r="G39" s="1"/>
      <c r="H39" s="1"/>
      <c r="I39" s="1"/>
      <c r="J39" s="1"/>
      <c r="K39" s="1"/>
      <c r="L39" s="1"/>
      <c r="M39" s="1"/>
      <c r="N39" s="1"/>
      <c r="O39" s="1"/>
      <c r="P39" s="1"/>
      <c r="Q39" s="1"/>
      <c r="R39" s="1"/>
      <c r="S39" s="1"/>
      <c r="T39" s="1"/>
      <c r="U39" s="1"/>
      <c r="V39" s="1"/>
      <c r="W39" s="1"/>
      <c r="X39" s="1"/>
    </row>
    <row r="40" spans="1:24">
      <c r="A40" s="1"/>
      <c r="B40" s="1"/>
      <c r="C40" s="1"/>
      <c r="D40" s="1"/>
      <c r="E40" s="1"/>
      <c r="F40" s="1"/>
      <c r="G40" s="1"/>
      <c r="H40" s="1"/>
      <c r="I40" s="1"/>
      <c r="J40" s="1"/>
      <c r="K40" s="1"/>
      <c r="L40" s="1"/>
      <c r="M40" s="1"/>
      <c r="N40" s="1"/>
      <c r="O40" s="1"/>
      <c r="P40" s="1"/>
      <c r="Q40" s="1"/>
      <c r="R40" s="1"/>
      <c r="S40" s="1"/>
      <c r="T40" s="1"/>
      <c r="U40" s="1"/>
      <c r="V40" s="1"/>
      <c r="W40" s="1"/>
      <c r="X40" s="1"/>
    </row>
    <row r="41" spans="1:24">
      <c r="A41" s="1"/>
      <c r="B41" s="1"/>
      <c r="C41" s="1"/>
      <c r="D41" s="1"/>
      <c r="E41" s="1"/>
      <c r="F41" s="1"/>
      <c r="G41" s="1"/>
      <c r="H41" s="1"/>
      <c r="I41" s="1"/>
      <c r="J41" s="1"/>
      <c r="K41" s="1"/>
      <c r="L41" s="1"/>
      <c r="M41" s="1"/>
      <c r="N41" s="1"/>
      <c r="O41" s="1"/>
      <c r="P41" s="1"/>
      <c r="Q41" s="1"/>
      <c r="R41" s="1"/>
      <c r="S41" s="1"/>
      <c r="T41" s="1"/>
      <c r="U41" s="1"/>
      <c r="V41" s="1"/>
      <c r="W41" s="1"/>
      <c r="X41" s="1"/>
    </row>
    <row r="42" spans="1:24">
      <c r="A42" s="1"/>
      <c r="B42" s="1"/>
      <c r="C42" s="1"/>
      <c r="D42" s="1"/>
      <c r="E42" s="1"/>
      <c r="F42" s="1"/>
      <c r="G42" s="1"/>
      <c r="H42" s="1"/>
      <c r="I42" s="1"/>
      <c r="J42" s="1"/>
      <c r="K42" s="1"/>
      <c r="L42" s="1"/>
      <c r="M42" s="1"/>
      <c r="N42" s="1"/>
      <c r="O42" s="1"/>
      <c r="P42" s="1"/>
      <c r="Q42" s="1"/>
      <c r="R42" s="1"/>
      <c r="S42" s="1"/>
      <c r="T42" s="1"/>
      <c r="U42" s="1"/>
      <c r="V42" s="1"/>
      <c r="W42" s="1"/>
      <c r="X42" s="1"/>
    </row>
    <row r="43" spans="1:24">
      <c r="A43" s="1"/>
      <c r="B43" s="1"/>
      <c r="C43" s="1"/>
      <c r="D43" s="1"/>
      <c r="E43" s="1"/>
      <c r="F43" s="1"/>
      <c r="G43" s="1"/>
      <c r="H43" s="1"/>
      <c r="I43" s="1"/>
      <c r="J43" s="1"/>
      <c r="K43" s="1"/>
      <c r="L43" s="1"/>
      <c r="M43" s="1"/>
      <c r="N43" s="1"/>
      <c r="O43" s="1"/>
      <c r="P43" s="1"/>
      <c r="Q43" s="1"/>
      <c r="R43" s="1"/>
      <c r="S43" s="1"/>
      <c r="T43" s="1"/>
      <c r="U43" s="1"/>
      <c r="V43" s="1"/>
      <c r="W43" s="1"/>
      <c r="X43" s="1"/>
    </row>
    <row r="44" spans="1:24">
      <c r="A44" s="1"/>
      <c r="B44" s="1"/>
      <c r="C44" s="1"/>
      <c r="D44" s="1"/>
      <c r="E44" s="1"/>
      <c r="F44" s="1"/>
      <c r="G44" s="1"/>
      <c r="H44" s="1"/>
      <c r="I44" s="1"/>
      <c r="J44" s="1"/>
      <c r="K44" s="1"/>
      <c r="L44" s="1"/>
      <c r="M44" s="1"/>
      <c r="N44" s="1"/>
      <c r="O44" s="1"/>
      <c r="P44" s="1"/>
      <c r="Q44" s="1"/>
      <c r="R44" s="1"/>
      <c r="S44" s="1"/>
      <c r="T44" s="1"/>
      <c r="U44" s="1"/>
      <c r="V44" s="1"/>
      <c r="W44" s="1"/>
      <c r="X44" s="1"/>
    </row>
    <row r="45" spans="1:24">
      <c r="A45" s="1"/>
      <c r="B45" s="1"/>
      <c r="C45" s="1"/>
      <c r="D45" s="1"/>
      <c r="E45" s="1"/>
      <c r="F45" s="1"/>
      <c r="G45" s="1"/>
      <c r="H45" s="1"/>
      <c r="I45" s="1"/>
      <c r="J45" s="1"/>
      <c r="K45" s="1"/>
      <c r="L45" s="1"/>
      <c r="M45" s="1"/>
      <c r="N45" s="1"/>
      <c r="O45" s="1"/>
      <c r="P45" s="1"/>
      <c r="Q45" s="1"/>
      <c r="R45" s="1"/>
      <c r="S45" s="1"/>
      <c r="T45" s="1"/>
      <c r="U45" s="1"/>
      <c r="V45" s="1"/>
      <c r="W45" s="1"/>
      <c r="X45" s="1"/>
    </row>
    <row r="46" spans="1:24">
      <c r="A46" s="1"/>
      <c r="B46" s="1"/>
      <c r="C46" s="1"/>
      <c r="D46" s="1"/>
      <c r="E46" s="1"/>
      <c r="F46" s="1"/>
      <c r="G46" s="1"/>
      <c r="H46" s="1"/>
      <c r="I46" s="1"/>
      <c r="J46" s="1"/>
      <c r="K46" s="1"/>
      <c r="L46" s="1"/>
      <c r="M46" s="1"/>
      <c r="N46" s="1"/>
      <c r="O46" s="1"/>
      <c r="P46" s="1"/>
      <c r="Q46" s="1"/>
      <c r="R46" s="1"/>
      <c r="S46" s="1"/>
      <c r="T46" s="1"/>
      <c r="U46" s="1"/>
      <c r="V46" s="1"/>
      <c r="W46" s="1"/>
      <c r="X46" s="1"/>
    </row>
    <row r="47" spans="1:24">
      <c r="A47" s="1"/>
      <c r="B47" s="1"/>
      <c r="C47" s="1"/>
      <c r="D47" s="1"/>
      <c r="E47" s="1"/>
      <c r="F47" s="1"/>
      <c r="G47" s="1"/>
      <c r="H47" s="1"/>
      <c r="I47" s="1"/>
      <c r="J47" s="1"/>
      <c r="K47" s="1"/>
      <c r="L47" s="1"/>
      <c r="M47" s="1"/>
      <c r="N47" s="1"/>
      <c r="O47" s="1"/>
      <c r="P47" s="1"/>
      <c r="Q47" s="1"/>
      <c r="R47" s="1"/>
      <c r="S47" s="1"/>
      <c r="T47" s="1"/>
      <c r="U47" s="1"/>
      <c r="V47" s="1"/>
      <c r="W47" s="1"/>
      <c r="X47" s="1"/>
    </row>
    <row r="48" spans="1:24">
      <c r="A48" s="1"/>
      <c r="B48" s="1"/>
      <c r="C48" s="1"/>
      <c r="D48" s="1"/>
      <c r="E48" s="1"/>
      <c r="F48" s="1"/>
      <c r="G48" s="1"/>
      <c r="H48" s="1"/>
      <c r="I48" s="1"/>
      <c r="J48" s="1"/>
      <c r="K48" s="1"/>
      <c r="L48" s="1"/>
      <c r="M48" s="1"/>
      <c r="N48" s="1"/>
      <c r="O48" s="1"/>
      <c r="P48" s="1"/>
      <c r="Q48" s="1"/>
      <c r="R48" s="1"/>
      <c r="S48" s="1"/>
      <c r="T48" s="1"/>
      <c r="U48" s="1"/>
      <c r="V48" s="1"/>
      <c r="W48" s="1"/>
      <c r="X48" s="1"/>
    </row>
    <row r="49" spans="1:24">
      <c r="A49" s="1"/>
      <c r="B49" s="1"/>
      <c r="C49" s="1"/>
      <c r="D49" s="1"/>
      <c r="E49" s="1"/>
      <c r="F49" s="1"/>
      <c r="G49" s="1"/>
      <c r="H49" s="1"/>
      <c r="I49" s="1"/>
      <c r="J49" s="1"/>
      <c r="K49" s="1"/>
      <c r="L49" s="1"/>
      <c r="M49" s="1"/>
      <c r="N49" s="1"/>
      <c r="O49" s="1"/>
      <c r="P49" s="1"/>
      <c r="Q49" s="1"/>
      <c r="R49" s="1"/>
      <c r="S49" s="1"/>
      <c r="T49" s="1"/>
      <c r="U49" s="1"/>
      <c r="V49" s="1"/>
      <c r="W49" s="1"/>
      <c r="X49" s="1"/>
    </row>
    <row r="50" spans="1:24">
      <c r="A50" s="1"/>
      <c r="B50" s="1"/>
      <c r="C50" s="1"/>
      <c r="D50" s="1"/>
      <c r="E50" s="1"/>
      <c r="F50" s="1"/>
      <c r="G50" s="1"/>
      <c r="H50" s="1"/>
      <c r="I50" s="1"/>
      <c r="J50" s="1"/>
      <c r="K50" s="1"/>
      <c r="L50" s="1"/>
      <c r="M50" s="1"/>
      <c r="N50" s="1"/>
      <c r="O50" s="1"/>
      <c r="P50" s="1"/>
      <c r="Q50" s="1"/>
      <c r="R50" s="1"/>
      <c r="S50" s="1"/>
      <c r="T50" s="1"/>
      <c r="U50" s="1"/>
      <c r="V50" s="1"/>
      <c r="W50" s="1"/>
      <c r="X50" s="1"/>
    </row>
    <row r="51" spans="1:24">
      <c r="A51" s="1"/>
      <c r="B51" s="1"/>
      <c r="C51" s="1"/>
      <c r="D51" s="1"/>
      <c r="E51" s="1"/>
      <c r="F51" s="1"/>
      <c r="G51" s="1"/>
      <c r="H51" s="1"/>
      <c r="I51" s="1"/>
      <c r="J51" s="1"/>
      <c r="K51" s="1"/>
      <c r="L51" s="1"/>
      <c r="M51" s="1"/>
      <c r="N51" s="1"/>
      <c r="O51" s="1"/>
      <c r="P51" s="1"/>
      <c r="Q51" s="1"/>
      <c r="R51" s="1"/>
      <c r="S51" s="1"/>
      <c r="T51" s="1"/>
      <c r="U51" s="1"/>
      <c r="V51" s="1"/>
      <c r="W51" s="1"/>
      <c r="X51" s="1"/>
    </row>
    <row r="52" spans="1:24">
      <c r="A52" s="1"/>
      <c r="B52" s="1"/>
      <c r="C52" s="1"/>
      <c r="D52" s="1"/>
      <c r="E52" s="1"/>
      <c r="F52" s="1"/>
      <c r="G52" s="1"/>
      <c r="H52" s="1"/>
      <c r="I52" s="1"/>
      <c r="J52" s="1"/>
      <c r="K52" s="1"/>
      <c r="L52" s="1"/>
      <c r="M52" s="1"/>
      <c r="N52" s="1"/>
      <c r="O52" s="1"/>
      <c r="P52" s="1"/>
      <c r="Q52" s="1"/>
      <c r="R52" s="1"/>
      <c r="S52" s="1"/>
      <c r="T52" s="1"/>
      <c r="U52" s="1"/>
      <c r="V52" s="1"/>
      <c r="W52" s="1"/>
      <c r="X52" s="1"/>
    </row>
    <row r="53" spans="1:24">
      <c r="A53" s="1"/>
      <c r="B53" s="1"/>
      <c r="C53" s="1"/>
      <c r="D53" s="1"/>
      <c r="E53" s="1"/>
      <c r="F53" s="1"/>
      <c r="G53" s="1"/>
      <c r="H53" s="1"/>
      <c r="I53" s="1"/>
      <c r="J53" s="1"/>
      <c r="K53" s="1"/>
      <c r="L53" s="1"/>
      <c r="M53" s="1"/>
      <c r="N53" s="1"/>
      <c r="O53" s="1"/>
      <c r="P53" s="1"/>
      <c r="Q53" s="1"/>
      <c r="R53" s="1"/>
      <c r="S53" s="1"/>
      <c r="T53" s="1"/>
      <c r="U53" s="1"/>
      <c r="V53" s="1"/>
      <c r="W53" s="1"/>
      <c r="X53" s="1"/>
    </row>
    <row r="54" spans="1:24">
      <c r="A54" s="1"/>
      <c r="B54" s="1"/>
      <c r="C54" s="1"/>
      <c r="D54" s="1"/>
      <c r="E54" s="1"/>
      <c r="F54" s="1"/>
      <c r="G54" s="1"/>
      <c r="H54" s="1"/>
      <c r="I54" s="1"/>
      <c r="J54" s="1"/>
      <c r="K54" s="1"/>
      <c r="L54" s="1"/>
      <c r="M54" s="1"/>
      <c r="N54" s="1"/>
      <c r="O54" s="1"/>
      <c r="P54" s="1"/>
      <c r="Q54" s="1"/>
      <c r="R54" s="1"/>
      <c r="S54" s="1"/>
      <c r="T54" s="1"/>
      <c r="U54" s="1"/>
      <c r="V54" s="1"/>
      <c r="W54" s="1"/>
      <c r="X54" s="1"/>
    </row>
    <row r="55" spans="1:24">
      <c r="A55" s="1"/>
      <c r="B55" s="1"/>
      <c r="C55" s="1"/>
      <c r="D55" s="1"/>
      <c r="E55" s="1"/>
      <c r="F55" s="1"/>
      <c r="G55" s="1"/>
      <c r="H55" s="1"/>
      <c r="I55" s="1"/>
      <c r="J55" s="1"/>
      <c r="K55" s="1"/>
      <c r="L55" s="1"/>
      <c r="M55" s="1"/>
      <c r="N55" s="1"/>
      <c r="O55" s="1"/>
      <c r="P55" s="1"/>
      <c r="Q55" s="1"/>
      <c r="R55" s="1"/>
      <c r="S55" s="1"/>
      <c r="T55" s="1"/>
      <c r="U55" s="1"/>
      <c r="V55" s="1"/>
      <c r="W55" s="1"/>
      <c r="X55" s="1"/>
    </row>
    <row r="56" spans="1:24">
      <c r="A56" s="1"/>
      <c r="B56" s="1"/>
      <c r="C56" s="1"/>
      <c r="D56" s="1"/>
      <c r="E56" s="1"/>
      <c r="F56" s="1"/>
      <c r="G56" s="1"/>
      <c r="H56" s="1"/>
      <c r="I56" s="1"/>
      <c r="J56" s="1"/>
      <c r="K56" s="1"/>
      <c r="L56" s="1"/>
      <c r="M56" s="1"/>
      <c r="N56" s="1"/>
      <c r="O56" s="1"/>
      <c r="P56" s="1"/>
      <c r="Q56" s="1"/>
      <c r="R56" s="1"/>
      <c r="S56" s="1"/>
      <c r="T56" s="1"/>
      <c r="U56" s="1"/>
      <c r="V56" s="1"/>
      <c r="W56" s="1"/>
      <c r="X56" s="1"/>
    </row>
    <row r="57" spans="1:24">
      <c r="A57" s="1"/>
      <c r="B57" s="1"/>
      <c r="C57" s="1"/>
      <c r="D57" s="1"/>
      <c r="E57" s="1"/>
      <c r="F57" s="1"/>
      <c r="G57" s="1"/>
      <c r="H57" s="1"/>
      <c r="I57" s="1"/>
      <c r="J57" s="1"/>
      <c r="K57" s="1"/>
      <c r="L57" s="1"/>
      <c r="M57" s="1"/>
      <c r="N57" s="1"/>
      <c r="O57" s="1"/>
      <c r="P57" s="1"/>
      <c r="Q57" s="1"/>
      <c r="R57" s="1"/>
      <c r="S57" s="1"/>
      <c r="T57" s="1"/>
      <c r="U57" s="1"/>
      <c r="V57" s="1"/>
      <c r="W57" s="1"/>
      <c r="X57" s="1"/>
    </row>
    <row r="58" spans="1:24">
      <c r="A58" s="1"/>
      <c r="B58" s="1"/>
      <c r="C58" s="1"/>
      <c r="D58" s="1"/>
      <c r="E58" s="1"/>
      <c r="F58" s="1"/>
      <c r="G58" s="1"/>
      <c r="H58" s="1"/>
      <c r="I58" s="1"/>
      <c r="J58" s="1"/>
      <c r="K58" s="1"/>
      <c r="L58" s="1"/>
      <c r="M58" s="1"/>
      <c r="N58" s="1"/>
      <c r="O58" s="1"/>
      <c r="P58" s="1"/>
      <c r="Q58" s="1"/>
      <c r="R58" s="1"/>
      <c r="S58" s="1"/>
      <c r="T58" s="1"/>
      <c r="U58" s="1"/>
      <c r="V58" s="1"/>
      <c r="W58" s="1"/>
      <c r="X58" s="1"/>
    </row>
    <row r="59" spans="1:24">
      <c r="A59" s="1"/>
      <c r="B59" s="1"/>
      <c r="C59" s="1"/>
      <c r="D59" s="1"/>
      <c r="E59" s="1"/>
      <c r="F59" s="1"/>
      <c r="G59" s="1"/>
      <c r="H59" s="1"/>
      <c r="I59" s="1"/>
      <c r="J59" s="1"/>
      <c r="K59" s="1"/>
      <c r="L59" s="1"/>
      <c r="M59" s="1"/>
      <c r="N59" s="1"/>
      <c r="O59" s="1"/>
      <c r="P59" s="1"/>
      <c r="Q59" s="1"/>
      <c r="R59" s="1"/>
      <c r="S59" s="1"/>
      <c r="T59" s="1"/>
      <c r="U59" s="1"/>
      <c r="V59" s="1"/>
      <c r="W59" s="1"/>
      <c r="X59" s="1"/>
    </row>
    <row r="60" spans="1:24">
      <c r="A60" s="1"/>
      <c r="B60" s="1"/>
      <c r="C60" s="1"/>
      <c r="D60" s="1"/>
      <c r="E60" s="1"/>
      <c r="F60" s="1"/>
      <c r="G60" s="1"/>
      <c r="H60" s="1"/>
      <c r="I60" s="1"/>
      <c r="J60" s="1"/>
      <c r="K60" s="1"/>
      <c r="L60" s="1"/>
      <c r="M60" s="1"/>
      <c r="N60" s="1"/>
      <c r="O60" s="1"/>
      <c r="P60" s="1"/>
      <c r="Q60" s="1"/>
      <c r="R60" s="1"/>
      <c r="S60" s="1"/>
      <c r="T60" s="1"/>
      <c r="U60" s="1"/>
      <c r="V60" s="1"/>
      <c r="W60" s="1"/>
      <c r="X60" s="1"/>
    </row>
    <row r="61" spans="1:24">
      <c r="A61" s="1"/>
      <c r="B61" s="1"/>
      <c r="C61" s="1"/>
      <c r="D61" s="1"/>
      <c r="E61" s="1"/>
      <c r="F61" s="1"/>
      <c r="G61" s="1"/>
      <c r="H61" s="1"/>
      <c r="I61" s="1"/>
      <c r="J61" s="1"/>
      <c r="K61" s="1"/>
      <c r="L61" s="1"/>
      <c r="M61" s="1"/>
      <c r="N61" s="1"/>
      <c r="O61" s="1"/>
      <c r="P61" s="1"/>
      <c r="Q61" s="1"/>
      <c r="R61" s="1"/>
      <c r="S61" s="1"/>
      <c r="T61" s="1"/>
      <c r="U61" s="1"/>
      <c r="V61" s="1"/>
      <c r="W61" s="1"/>
      <c r="X61" s="1"/>
    </row>
    <row r="62" spans="1:24">
      <c r="A62" s="1"/>
      <c r="B62" s="1"/>
      <c r="C62" s="1"/>
      <c r="D62" s="1"/>
      <c r="E62" s="1"/>
      <c r="F62" s="1"/>
      <c r="G62" s="1"/>
      <c r="H62" s="1"/>
      <c r="I62" s="1"/>
      <c r="J62" s="1"/>
      <c r="K62" s="1"/>
      <c r="L62" s="1"/>
      <c r="M62" s="1"/>
      <c r="N62" s="1"/>
      <c r="O62" s="1"/>
      <c r="P62" s="1"/>
      <c r="Q62" s="1"/>
      <c r="R62" s="1"/>
      <c r="S62" s="1"/>
      <c r="T62" s="1"/>
      <c r="U62" s="1"/>
      <c r="V62" s="1"/>
      <c r="W62" s="1"/>
      <c r="X62" s="1"/>
    </row>
    <row r="63" spans="1:24">
      <c r="A63" s="1"/>
      <c r="B63" s="1"/>
      <c r="C63" s="1"/>
      <c r="D63" s="1"/>
      <c r="E63" s="1"/>
      <c r="F63" s="1"/>
      <c r="G63" s="1"/>
      <c r="H63" s="1"/>
      <c r="I63" s="1"/>
      <c r="J63" s="1"/>
      <c r="K63" s="1"/>
      <c r="L63" s="1"/>
      <c r="M63" s="1"/>
      <c r="N63" s="1"/>
      <c r="O63" s="1"/>
      <c r="P63" s="1"/>
      <c r="Q63" s="1"/>
      <c r="R63" s="1"/>
      <c r="S63" s="1"/>
      <c r="T63" s="1"/>
      <c r="U63" s="1"/>
      <c r="V63" s="1"/>
      <c r="W63" s="1"/>
      <c r="X63" s="1"/>
    </row>
    <row r="64" spans="1:24">
      <c r="A64" s="1"/>
      <c r="B64" s="1"/>
      <c r="C64" s="1"/>
      <c r="D64" s="1"/>
      <c r="E64" s="1"/>
      <c r="F64" s="1"/>
      <c r="G64" s="1"/>
      <c r="H64" s="1"/>
      <c r="I64" s="1"/>
      <c r="J64" s="1"/>
      <c r="K64" s="1"/>
      <c r="L64" s="1"/>
      <c r="M64" s="1"/>
      <c r="N64" s="1"/>
      <c r="O64" s="1"/>
      <c r="P64" s="1"/>
      <c r="Q64" s="1"/>
      <c r="R64" s="1"/>
      <c r="S64" s="1"/>
      <c r="T64" s="1"/>
      <c r="U64" s="1"/>
      <c r="V64" s="1"/>
      <c r="W64" s="1"/>
      <c r="X64" s="1"/>
    </row>
    <row r="65" spans="1:24">
      <c r="A65" s="1"/>
      <c r="B65" s="1"/>
      <c r="C65" s="1"/>
      <c r="D65" s="1"/>
      <c r="E65" s="1"/>
      <c r="F65" s="1"/>
      <c r="G65" s="1"/>
      <c r="H65" s="1"/>
      <c r="I65" s="1"/>
      <c r="J65" s="1"/>
      <c r="K65" s="1"/>
      <c r="L65" s="1"/>
      <c r="M65" s="1"/>
      <c r="N65" s="1"/>
      <c r="O65" s="1"/>
      <c r="P65" s="1"/>
      <c r="Q65" s="1"/>
      <c r="R65" s="1"/>
      <c r="S65" s="1"/>
      <c r="T65" s="1"/>
      <c r="U65" s="1"/>
      <c r="V65" s="1"/>
      <c r="W65" s="1"/>
      <c r="X65" s="1"/>
    </row>
    <row r="66" spans="1:24">
      <c r="A66" s="1"/>
      <c r="B66" s="1"/>
      <c r="C66" s="1"/>
      <c r="D66" s="1"/>
      <c r="E66" s="1"/>
      <c r="F66" s="1"/>
      <c r="G66" s="1"/>
      <c r="H66" s="1"/>
      <c r="I66" s="1"/>
      <c r="J66" s="1"/>
      <c r="K66" s="1"/>
      <c r="L66" s="1"/>
      <c r="M66" s="1"/>
      <c r="N66" s="1"/>
      <c r="O66" s="1"/>
      <c r="P66" s="1"/>
      <c r="Q66" s="1"/>
      <c r="R66" s="1"/>
      <c r="S66" s="1"/>
      <c r="T66" s="1"/>
      <c r="U66" s="1"/>
      <c r="V66" s="1"/>
      <c r="W66" s="1"/>
      <c r="X66" s="1"/>
    </row>
    <row r="67" spans="1:24">
      <c r="A67" s="1"/>
      <c r="B67" s="1"/>
      <c r="C67" s="1"/>
      <c r="D67" s="1"/>
      <c r="E67" s="1"/>
      <c r="F67" s="1"/>
      <c r="G67" s="1"/>
      <c r="H67" s="1"/>
      <c r="I67" s="1"/>
      <c r="J67" s="1"/>
      <c r="K67" s="1"/>
      <c r="L67" s="1"/>
      <c r="M67" s="1"/>
      <c r="N67" s="1"/>
      <c r="O67" s="1"/>
      <c r="P67" s="1"/>
      <c r="Q67" s="1"/>
      <c r="R67" s="1"/>
      <c r="S67" s="1"/>
      <c r="T67" s="1"/>
      <c r="U67" s="1"/>
      <c r="V67" s="1"/>
      <c r="W67" s="1"/>
      <c r="X67" s="1"/>
    </row>
    <row r="68" spans="1:24">
      <c r="A68" s="1"/>
      <c r="B68" s="1"/>
      <c r="C68" s="1"/>
      <c r="D68" s="1"/>
      <c r="E68" s="1"/>
      <c r="F68" s="1"/>
      <c r="G68" s="1"/>
      <c r="H68" s="1"/>
      <c r="I68" s="1"/>
      <c r="J68" s="1"/>
      <c r="K68" s="1"/>
      <c r="L68" s="1"/>
      <c r="M68" s="1"/>
      <c r="N68" s="1"/>
      <c r="O68" s="1"/>
      <c r="P68" s="1"/>
      <c r="Q68" s="1"/>
      <c r="R68" s="1"/>
      <c r="S68" s="1"/>
      <c r="T68" s="1"/>
      <c r="U68" s="1"/>
      <c r="V68" s="1"/>
      <c r="W68" s="1"/>
      <c r="X68" s="1"/>
    </row>
    <row r="69" spans="1:24">
      <c r="A69" s="1"/>
      <c r="B69" s="1"/>
      <c r="C69" s="1"/>
      <c r="D69" s="1"/>
      <c r="E69" s="1"/>
      <c r="F69" s="1"/>
      <c r="G69" s="1"/>
      <c r="H69" s="1"/>
      <c r="I69" s="1"/>
      <c r="J69" s="1"/>
      <c r="K69" s="1"/>
      <c r="L69" s="1"/>
      <c r="M69" s="1"/>
      <c r="N69" s="1"/>
      <c r="O69" s="1"/>
      <c r="P69" s="1"/>
      <c r="Q69" s="1"/>
      <c r="R69" s="1"/>
      <c r="S69" s="1"/>
      <c r="T69" s="1"/>
      <c r="U69" s="1"/>
      <c r="V69" s="1"/>
      <c r="W69" s="1"/>
      <c r="X69" s="1"/>
    </row>
    <row r="70" spans="1:24">
      <c r="A70" s="1"/>
      <c r="B70" s="1"/>
      <c r="C70" s="1"/>
      <c r="D70" s="1"/>
      <c r="E70" s="1"/>
      <c r="F70" s="1"/>
      <c r="G70" s="1"/>
      <c r="H70" s="1"/>
      <c r="I70" s="1"/>
      <c r="J70" s="1"/>
      <c r="K70" s="1"/>
      <c r="L70" s="1"/>
      <c r="M70" s="1"/>
      <c r="N70" s="1"/>
      <c r="O70" s="1"/>
      <c r="P70" s="1"/>
      <c r="Q70" s="1"/>
      <c r="R70" s="1"/>
      <c r="S70" s="1"/>
      <c r="T70" s="1"/>
      <c r="U70" s="1"/>
      <c r="V70" s="1"/>
      <c r="W70" s="1"/>
      <c r="X70" s="1"/>
    </row>
    <row r="71" spans="1:24">
      <c r="A71" s="1"/>
      <c r="B71" s="1"/>
      <c r="C71" s="1"/>
      <c r="D71" s="1"/>
      <c r="E71" s="1"/>
      <c r="F71" s="1"/>
      <c r="G71" s="1"/>
      <c r="H71" s="1"/>
      <c r="I71" s="1"/>
      <c r="J71" s="1"/>
      <c r="K71" s="1"/>
      <c r="L71" s="1"/>
      <c r="M71" s="1"/>
      <c r="N71" s="1"/>
      <c r="O71" s="1"/>
      <c r="P71" s="1"/>
      <c r="Q71" s="1"/>
      <c r="R71" s="1"/>
      <c r="S71" s="1"/>
      <c r="T71" s="1"/>
      <c r="U71" s="1"/>
      <c r="V71" s="1"/>
      <c r="W71" s="1"/>
      <c r="X71" s="1"/>
    </row>
    <row r="72" spans="1:24">
      <c r="A72" s="1"/>
      <c r="B72" s="1"/>
      <c r="C72" s="1"/>
      <c r="D72" s="1"/>
      <c r="E72" s="1"/>
      <c r="F72" s="1"/>
      <c r="G72" s="1"/>
      <c r="H72" s="1"/>
      <c r="I72" s="1"/>
      <c r="J72" s="1"/>
      <c r="K72" s="1"/>
      <c r="L72" s="1"/>
      <c r="M72" s="1"/>
      <c r="N72" s="1"/>
      <c r="O72" s="1"/>
      <c r="P72" s="1"/>
      <c r="Q72" s="1"/>
      <c r="R72" s="1"/>
      <c r="S72" s="1"/>
      <c r="T72" s="1"/>
      <c r="U72" s="1"/>
      <c r="V72" s="1"/>
      <c r="W72" s="1"/>
      <c r="X72" s="1"/>
    </row>
    <row r="73" spans="1:24">
      <c r="A73" s="1"/>
      <c r="B73" s="1"/>
      <c r="C73" s="1"/>
      <c r="D73" s="1"/>
      <c r="E73" s="1"/>
      <c r="F73" s="1"/>
      <c r="G73" s="1"/>
      <c r="H73" s="1"/>
      <c r="I73" s="1"/>
      <c r="J73" s="1"/>
      <c r="K73" s="1"/>
      <c r="L73" s="1"/>
      <c r="M73" s="1"/>
      <c r="N73" s="1"/>
      <c r="O73" s="1"/>
      <c r="P73" s="1"/>
      <c r="Q73" s="1"/>
      <c r="R73" s="1"/>
      <c r="S73" s="1"/>
      <c r="T73" s="1"/>
      <c r="U73" s="1"/>
      <c r="V73" s="1"/>
      <c r="W73" s="1"/>
      <c r="X73" s="1"/>
    </row>
    <row r="74" spans="1:24">
      <c r="A74" s="1"/>
      <c r="B74" s="1"/>
      <c r="C74" s="1"/>
      <c r="D74" s="1"/>
      <c r="E74" s="1"/>
      <c r="F74" s="1"/>
      <c r="G74" s="1"/>
      <c r="H74" s="1"/>
      <c r="I74" s="1"/>
      <c r="J74" s="1"/>
      <c r="K74" s="1"/>
      <c r="L74" s="1"/>
      <c r="M74" s="1"/>
      <c r="N74" s="1"/>
      <c r="O74" s="1"/>
      <c r="P74" s="1"/>
      <c r="Q74" s="1"/>
      <c r="R74" s="1"/>
      <c r="S74" s="1"/>
      <c r="T74" s="1"/>
      <c r="U74" s="1"/>
      <c r="V74" s="1"/>
      <c r="W74" s="1"/>
      <c r="X74" s="1"/>
    </row>
    <row r="75" spans="1:24">
      <c r="A75" s="1"/>
      <c r="B75" s="1"/>
      <c r="C75" s="1"/>
      <c r="D75" s="1"/>
      <c r="E75" s="1"/>
      <c r="F75" s="1"/>
      <c r="G75" s="1"/>
      <c r="H75" s="1"/>
      <c r="I75" s="1"/>
      <c r="J75" s="1"/>
      <c r="K75" s="1"/>
      <c r="L75" s="1"/>
      <c r="M75" s="1"/>
      <c r="N75" s="1"/>
      <c r="O75" s="1"/>
      <c r="P75" s="1"/>
      <c r="Q75" s="1"/>
      <c r="R75" s="1"/>
      <c r="S75" s="1"/>
      <c r="T75" s="1"/>
      <c r="U75" s="1"/>
      <c r="V75" s="1"/>
      <c r="W75" s="1"/>
      <c r="X75" s="1"/>
    </row>
    <row r="76" spans="1:24">
      <c r="A76" s="1"/>
      <c r="B76" s="1"/>
      <c r="C76" s="1"/>
      <c r="D76" s="1"/>
      <c r="E76" s="1"/>
      <c r="F76" s="1"/>
      <c r="G76" s="1"/>
      <c r="H76" s="1"/>
      <c r="I76" s="1"/>
      <c r="J76" s="1"/>
      <c r="K76" s="1"/>
      <c r="L76" s="1"/>
      <c r="M76" s="1"/>
      <c r="N76" s="1"/>
      <c r="O76" s="1"/>
      <c r="P76" s="1"/>
      <c r="Q76" s="1"/>
      <c r="R76" s="1"/>
      <c r="S76" s="1"/>
      <c r="T76" s="1"/>
      <c r="U76" s="1"/>
      <c r="V76" s="1"/>
      <c r="W76" s="1"/>
      <c r="X76" s="1"/>
    </row>
    <row r="77" spans="1:24">
      <c r="A77" s="1"/>
      <c r="B77" s="1"/>
      <c r="C77" s="1"/>
      <c r="D77" s="1"/>
      <c r="E77" s="1"/>
      <c r="F77" s="1"/>
      <c r="G77" s="1"/>
      <c r="H77" s="1"/>
      <c r="I77" s="1"/>
      <c r="J77" s="1"/>
      <c r="K77" s="1"/>
      <c r="L77" s="1"/>
      <c r="M77" s="1"/>
      <c r="N77" s="1"/>
      <c r="O77" s="1"/>
      <c r="P77" s="1"/>
      <c r="Q77" s="1"/>
      <c r="R77" s="1"/>
      <c r="S77" s="1"/>
      <c r="T77" s="1"/>
      <c r="U77" s="1"/>
      <c r="V77" s="1"/>
      <c r="W77" s="1"/>
      <c r="X77" s="1"/>
    </row>
    <row r="78" spans="1:24">
      <c r="A78" s="1"/>
      <c r="B78" s="1"/>
      <c r="C78" s="1"/>
      <c r="D78" s="1"/>
      <c r="E78" s="1"/>
      <c r="F78" s="1"/>
      <c r="G78" s="1"/>
      <c r="H78" s="1"/>
      <c r="I78" s="1"/>
      <c r="J78" s="1"/>
      <c r="K78" s="1"/>
      <c r="L78" s="1"/>
      <c r="M78" s="1"/>
      <c r="N78" s="1"/>
      <c r="O78" s="1"/>
      <c r="P78" s="1"/>
      <c r="Q78" s="1"/>
      <c r="R78" s="1"/>
      <c r="S78" s="1"/>
      <c r="T78" s="1"/>
      <c r="U78" s="1"/>
      <c r="V78" s="1"/>
      <c r="W78" s="1"/>
      <c r="X78" s="1"/>
    </row>
    <row r="79" spans="1:24">
      <c r="A79" s="1"/>
      <c r="B79" s="1"/>
      <c r="C79" s="1"/>
      <c r="D79" s="1"/>
      <c r="E79" s="1"/>
      <c r="F79" s="1"/>
      <c r="G79" s="1"/>
      <c r="H79" s="1"/>
      <c r="I79" s="1"/>
      <c r="J79" s="1"/>
      <c r="K79" s="1"/>
      <c r="L79" s="1"/>
      <c r="M79" s="1"/>
      <c r="N79" s="1"/>
      <c r="O79" s="1"/>
      <c r="P79" s="1"/>
      <c r="Q79" s="1"/>
      <c r="R79" s="1"/>
      <c r="S79" s="1"/>
      <c r="T79" s="1"/>
      <c r="U79" s="1"/>
      <c r="V79" s="1"/>
      <c r="W79" s="1"/>
      <c r="X79" s="1"/>
    </row>
    <row r="80" spans="1:24">
      <c r="A80" s="1"/>
      <c r="B80" s="1"/>
      <c r="C80" s="1"/>
      <c r="D80" s="1"/>
      <c r="E80" s="1"/>
      <c r="F80" s="1"/>
      <c r="G80" s="1"/>
      <c r="H80" s="1"/>
      <c r="I80" s="1"/>
      <c r="J80" s="1"/>
      <c r="K80" s="1"/>
      <c r="L80" s="1"/>
      <c r="M80" s="1"/>
      <c r="N80" s="1"/>
      <c r="O80" s="1"/>
      <c r="P80" s="1"/>
      <c r="Q80" s="1"/>
      <c r="R80" s="1"/>
      <c r="S80" s="1"/>
      <c r="T80" s="1"/>
      <c r="U80" s="1"/>
      <c r="V80" s="1"/>
      <c r="W80" s="1"/>
      <c r="X80" s="1"/>
    </row>
    <row r="81" spans="1:24">
      <c r="A81" s="1"/>
      <c r="B81" s="1"/>
      <c r="C81" s="1"/>
      <c r="D81" s="1"/>
      <c r="E81" s="1"/>
      <c r="F81" s="1"/>
      <c r="G81" s="1"/>
      <c r="H81" s="1"/>
      <c r="I81" s="1"/>
      <c r="J81" s="1"/>
      <c r="K81" s="1"/>
      <c r="L81" s="1"/>
      <c r="M81" s="1"/>
      <c r="N81" s="1"/>
      <c r="O81" s="1"/>
      <c r="P81" s="1"/>
      <c r="Q81" s="1"/>
      <c r="R81" s="1"/>
      <c r="S81" s="1"/>
      <c r="T81" s="1"/>
      <c r="U81" s="1"/>
      <c r="V81" s="1"/>
      <c r="W81" s="1"/>
      <c r="X81" s="1"/>
    </row>
    <row r="82" spans="1:24">
      <c r="A82" s="1"/>
      <c r="B82" s="1"/>
      <c r="C82" s="1"/>
      <c r="D82" s="1"/>
      <c r="E82" s="1"/>
      <c r="F82" s="1"/>
      <c r="G82" s="1"/>
      <c r="H82" s="1"/>
      <c r="I82" s="1"/>
      <c r="J82" s="1"/>
      <c r="K82" s="1"/>
      <c r="L82" s="1"/>
      <c r="M82" s="1"/>
      <c r="N82" s="1"/>
      <c r="O82" s="1"/>
      <c r="P82" s="1"/>
      <c r="Q82" s="1"/>
      <c r="R82" s="1"/>
      <c r="S82" s="1"/>
      <c r="T82" s="1"/>
      <c r="U82" s="1"/>
      <c r="V82" s="1"/>
      <c r="W82" s="1"/>
      <c r="X82" s="1"/>
    </row>
    <row r="83" spans="1:24">
      <c r="A83" s="1"/>
      <c r="B83" s="1"/>
      <c r="C83" s="1"/>
      <c r="D83" s="1"/>
      <c r="E83" s="1"/>
      <c r="F83" s="1"/>
      <c r="G83" s="1"/>
      <c r="H83" s="1"/>
      <c r="I83" s="1"/>
      <c r="J83" s="1"/>
      <c r="K83" s="1"/>
      <c r="L83" s="1"/>
      <c r="M83" s="1"/>
      <c r="N83" s="1"/>
      <c r="O83" s="1"/>
      <c r="P83" s="1"/>
      <c r="Q83" s="1"/>
      <c r="R83" s="1"/>
      <c r="S83" s="1"/>
      <c r="T83" s="1"/>
      <c r="U83" s="1"/>
      <c r="V83" s="1"/>
      <c r="W83" s="1"/>
      <c r="X83" s="1"/>
    </row>
    <row r="84" spans="1:24">
      <c r="A84" s="1"/>
      <c r="B84" s="1"/>
      <c r="C84" s="1"/>
      <c r="D84" s="1"/>
      <c r="E84" s="1"/>
      <c r="F84" s="1"/>
      <c r="G84" s="1"/>
      <c r="H84" s="1"/>
      <c r="I84" s="1"/>
      <c r="J84" s="1"/>
      <c r="K84" s="1"/>
      <c r="L84" s="1"/>
      <c r="M84" s="1"/>
      <c r="N84" s="1"/>
      <c r="O84" s="1"/>
      <c r="P84" s="1"/>
      <c r="Q84" s="1"/>
      <c r="R84" s="1"/>
      <c r="S84" s="1"/>
      <c r="T84" s="1"/>
      <c r="U84" s="1"/>
      <c r="V84" s="1"/>
      <c r="W84" s="1"/>
      <c r="X84" s="1"/>
    </row>
    <row r="85" spans="1:24">
      <c r="A85" s="1"/>
      <c r="B85" s="1"/>
      <c r="C85" s="1"/>
      <c r="D85" s="1"/>
      <c r="E85" s="1"/>
      <c r="F85" s="1"/>
      <c r="G85" s="1"/>
      <c r="H85" s="1"/>
      <c r="I85" s="1"/>
      <c r="J85" s="1"/>
      <c r="K85" s="1"/>
      <c r="L85" s="1"/>
      <c r="M85" s="1"/>
      <c r="N85" s="1"/>
      <c r="O85" s="1"/>
      <c r="P85" s="1"/>
      <c r="Q85" s="1"/>
      <c r="R85" s="1"/>
      <c r="S85" s="1"/>
      <c r="T85" s="1"/>
      <c r="U85" s="1"/>
      <c r="V85" s="1"/>
      <c r="W85" s="1"/>
      <c r="X85" s="1"/>
    </row>
    <row r="86" spans="1:24">
      <c r="A86" s="1"/>
      <c r="B86" s="1"/>
      <c r="C86" s="1"/>
      <c r="D86" s="1"/>
      <c r="E86" s="1"/>
      <c r="F86" s="1"/>
      <c r="G86" s="1"/>
      <c r="H86" s="1"/>
      <c r="I86" s="1"/>
      <c r="J86" s="1"/>
      <c r="K86" s="1"/>
      <c r="L86" s="1"/>
      <c r="M86" s="1"/>
      <c r="N86" s="1"/>
      <c r="O86" s="1"/>
      <c r="P86" s="1"/>
      <c r="Q86" s="1"/>
      <c r="R86" s="1"/>
      <c r="S86" s="1"/>
      <c r="T86" s="1"/>
      <c r="U86" s="1"/>
      <c r="V86" s="1"/>
      <c r="W86" s="1"/>
      <c r="X86" s="1"/>
    </row>
    <row r="87" spans="1:24">
      <c r="A87" s="1"/>
      <c r="B87" s="1"/>
      <c r="C87" s="1"/>
      <c r="D87" s="1"/>
      <c r="E87" s="1"/>
      <c r="F87" s="1"/>
      <c r="G87" s="1"/>
      <c r="H87" s="1"/>
      <c r="I87" s="1"/>
      <c r="J87" s="1"/>
      <c r="K87" s="1"/>
      <c r="L87" s="1"/>
      <c r="M87" s="1"/>
      <c r="N87" s="1"/>
      <c r="O87" s="1"/>
      <c r="P87" s="1"/>
      <c r="Q87" s="1"/>
      <c r="R87" s="1"/>
      <c r="S87" s="1"/>
      <c r="T87" s="1"/>
      <c r="U87" s="1"/>
      <c r="V87" s="1"/>
      <c r="W87" s="1"/>
      <c r="X87" s="1"/>
    </row>
    <row r="88" spans="1:24">
      <c r="A88" s="1"/>
      <c r="B88" s="1"/>
      <c r="C88" s="1"/>
      <c r="D88" s="1"/>
      <c r="E88" s="1"/>
      <c r="F88" s="1"/>
      <c r="G88" s="1"/>
      <c r="H88" s="1"/>
      <c r="I88" s="1"/>
      <c r="J88" s="1"/>
      <c r="K88" s="1"/>
      <c r="L88" s="1"/>
      <c r="M88" s="1"/>
      <c r="N88" s="1"/>
      <c r="O88" s="1"/>
      <c r="P88" s="1"/>
      <c r="Q88" s="1"/>
      <c r="R88" s="1"/>
      <c r="S88" s="1"/>
      <c r="T88" s="1"/>
      <c r="U88" s="1"/>
      <c r="V88" s="1"/>
      <c r="W88" s="1"/>
      <c r="X88" s="1"/>
    </row>
    <row r="89" spans="1:24">
      <c r="A89" s="1"/>
      <c r="B89" s="1"/>
      <c r="C89" s="1"/>
      <c r="D89" s="1"/>
      <c r="E89" s="1"/>
      <c r="F89" s="1"/>
      <c r="G89" s="1"/>
      <c r="H89" s="1"/>
      <c r="I89" s="1"/>
      <c r="J89" s="1"/>
      <c r="K89" s="1"/>
      <c r="L89" s="1"/>
      <c r="M89" s="1"/>
      <c r="N89" s="1"/>
      <c r="O89" s="1"/>
      <c r="P89" s="1"/>
      <c r="Q89" s="1"/>
      <c r="R89" s="1"/>
      <c r="S89" s="1"/>
      <c r="T89" s="1"/>
      <c r="U89" s="1"/>
      <c r="V89" s="1"/>
      <c r="W89" s="1"/>
      <c r="X89" s="1"/>
    </row>
    <row r="90" spans="1:24">
      <c r="A90" s="1"/>
      <c r="B90" s="1"/>
      <c r="C90" s="1"/>
      <c r="D90" s="1"/>
      <c r="E90" s="1"/>
      <c r="F90" s="1"/>
      <c r="G90" s="1"/>
      <c r="H90" s="1"/>
      <c r="I90" s="1"/>
      <c r="J90" s="1"/>
      <c r="K90" s="1"/>
      <c r="L90" s="1"/>
      <c r="M90" s="1"/>
      <c r="N90" s="1"/>
      <c r="O90" s="1"/>
      <c r="P90" s="1"/>
      <c r="Q90" s="1"/>
      <c r="R90" s="1"/>
      <c r="S90" s="1"/>
      <c r="T90" s="1"/>
      <c r="U90" s="1"/>
      <c r="V90" s="1"/>
      <c r="W90" s="1"/>
      <c r="X90" s="1"/>
    </row>
    <row r="91" spans="1:24">
      <c r="A91" s="1"/>
      <c r="B91" s="1"/>
      <c r="C91" s="1"/>
      <c r="D91" s="1"/>
      <c r="E91" s="1"/>
      <c r="F91" s="1"/>
      <c r="G91" s="1"/>
      <c r="H91" s="1"/>
      <c r="I91" s="1"/>
      <c r="J91" s="1"/>
      <c r="K91" s="1"/>
      <c r="L91" s="1"/>
      <c r="M91" s="1"/>
      <c r="N91" s="1"/>
      <c r="O91" s="1"/>
      <c r="P91" s="1"/>
      <c r="Q91" s="1"/>
      <c r="R91" s="1"/>
      <c r="S91" s="1"/>
      <c r="T91" s="1"/>
      <c r="U91" s="1"/>
      <c r="V91" s="1"/>
      <c r="W91" s="1"/>
      <c r="X91" s="1"/>
    </row>
    <row r="92" spans="1:24">
      <c r="A92" s="1"/>
      <c r="B92" s="1"/>
      <c r="C92" s="1"/>
      <c r="D92" s="1"/>
      <c r="E92" s="1"/>
      <c r="F92" s="1"/>
      <c r="G92" s="1"/>
      <c r="H92" s="1"/>
      <c r="I92" s="1"/>
      <c r="J92" s="1"/>
      <c r="K92" s="1"/>
      <c r="L92" s="1"/>
      <c r="M92" s="1"/>
      <c r="N92" s="1"/>
      <c r="O92" s="1"/>
      <c r="P92" s="1"/>
      <c r="Q92" s="1"/>
      <c r="R92" s="1"/>
      <c r="S92" s="1"/>
      <c r="T92" s="1"/>
      <c r="U92" s="1"/>
      <c r="V92" s="1"/>
      <c r="W92" s="1"/>
      <c r="X92" s="1"/>
    </row>
    <row r="93" spans="1:24">
      <c r="A93" s="1"/>
      <c r="B93" s="1"/>
      <c r="C93" s="1"/>
      <c r="D93" s="1"/>
      <c r="E93" s="1"/>
      <c r="F93" s="1"/>
      <c r="G93" s="1"/>
      <c r="H93" s="1"/>
      <c r="I93" s="1"/>
      <c r="J93" s="1"/>
      <c r="K93" s="1"/>
      <c r="L93" s="1"/>
      <c r="M93" s="1"/>
      <c r="N93" s="1"/>
      <c r="O93" s="1"/>
      <c r="P93" s="1"/>
      <c r="Q93" s="1"/>
      <c r="R93" s="1"/>
      <c r="S93" s="1"/>
      <c r="T93" s="1"/>
      <c r="U93" s="1"/>
      <c r="V93" s="1"/>
      <c r="W93" s="1"/>
      <c r="X93" s="1"/>
    </row>
    <row r="94" spans="1:24">
      <c r="A94" s="1"/>
      <c r="B94" s="1"/>
      <c r="C94" s="1"/>
      <c r="D94" s="1"/>
      <c r="E94" s="1"/>
      <c r="F94" s="1"/>
      <c r="G94" s="1"/>
      <c r="H94" s="1"/>
      <c r="I94" s="1"/>
      <c r="J94" s="1"/>
      <c r="K94" s="1"/>
      <c r="L94" s="1"/>
      <c r="M94" s="1"/>
      <c r="N94" s="1"/>
      <c r="O94" s="1"/>
      <c r="P94" s="1"/>
      <c r="Q94" s="1"/>
      <c r="R94" s="1"/>
      <c r="S94" s="1"/>
      <c r="T94" s="1"/>
      <c r="U94" s="1"/>
      <c r="V94" s="1"/>
      <c r="W94" s="1"/>
      <c r="X94" s="1"/>
    </row>
    <row r="95" spans="1:24">
      <c r="A95" s="1"/>
      <c r="B95" s="1"/>
      <c r="C95" s="1"/>
      <c r="D95" s="1"/>
      <c r="E95" s="1"/>
      <c r="F95" s="1"/>
      <c r="G95" s="1"/>
      <c r="H95" s="1"/>
      <c r="I95" s="1"/>
      <c r="J95" s="1"/>
      <c r="K95" s="1"/>
      <c r="L95" s="1"/>
      <c r="M95" s="1"/>
      <c r="N95" s="1"/>
      <c r="O95" s="1"/>
      <c r="P95" s="1"/>
      <c r="Q95" s="1"/>
      <c r="R95" s="1"/>
      <c r="S95" s="1"/>
      <c r="T95" s="1"/>
      <c r="U95" s="1"/>
      <c r="V95" s="1"/>
      <c r="W95" s="1"/>
      <c r="X95" s="1"/>
    </row>
    <row r="96" spans="1:24">
      <c r="A96" s="1"/>
      <c r="B96" s="1"/>
      <c r="C96" s="1"/>
      <c r="D96" s="1"/>
      <c r="E96" s="1"/>
      <c r="F96" s="1"/>
      <c r="G96" s="1"/>
      <c r="H96" s="1"/>
      <c r="I96" s="1"/>
      <c r="J96" s="1"/>
      <c r="K96" s="1"/>
      <c r="L96" s="1"/>
      <c r="M96" s="1"/>
      <c r="N96" s="1"/>
      <c r="O96" s="1"/>
      <c r="P96" s="1"/>
      <c r="Q96" s="1"/>
      <c r="R96" s="1"/>
      <c r="S96" s="1"/>
      <c r="T96" s="1"/>
      <c r="U96" s="1"/>
      <c r="V96" s="1"/>
      <c r="W96" s="1"/>
      <c r="X96" s="1"/>
    </row>
    <row r="97" spans="1:24">
      <c r="A97" s="1"/>
      <c r="B97" s="1"/>
      <c r="C97" s="1"/>
      <c r="D97" s="1"/>
      <c r="E97" s="1"/>
      <c r="F97" s="1"/>
      <c r="G97" s="1"/>
      <c r="H97" s="1"/>
      <c r="I97" s="1"/>
      <c r="J97" s="1"/>
      <c r="K97" s="1"/>
      <c r="L97" s="1"/>
      <c r="M97" s="1"/>
      <c r="N97" s="1"/>
      <c r="O97" s="1"/>
      <c r="P97" s="1"/>
      <c r="Q97" s="1"/>
      <c r="R97" s="1"/>
      <c r="S97" s="1"/>
      <c r="T97" s="1"/>
      <c r="U97" s="1"/>
      <c r="V97" s="1"/>
      <c r="W97" s="1"/>
      <c r="X97" s="1"/>
    </row>
    <row r="98" spans="1:24">
      <c r="A98" s="1"/>
      <c r="B98" s="1"/>
      <c r="C98" s="1"/>
      <c r="D98" s="1"/>
      <c r="E98" s="1"/>
      <c r="F98" s="1"/>
      <c r="G98" s="1"/>
      <c r="H98" s="1"/>
      <c r="I98" s="1"/>
      <c r="J98" s="1"/>
      <c r="K98" s="1"/>
      <c r="L98" s="1"/>
      <c r="M98" s="1"/>
      <c r="N98" s="1"/>
      <c r="O98" s="1"/>
      <c r="P98" s="1"/>
      <c r="Q98" s="1"/>
      <c r="R98" s="1"/>
      <c r="S98" s="1"/>
      <c r="T98" s="1"/>
      <c r="U98" s="1"/>
      <c r="V98" s="1"/>
      <c r="W98" s="1"/>
      <c r="X98" s="1"/>
    </row>
    <row r="99" spans="1:24">
      <c r="A99" s="1"/>
      <c r="B99" s="1"/>
      <c r="C99" s="1"/>
      <c r="D99" s="1"/>
      <c r="E99" s="1"/>
      <c r="F99" s="1"/>
      <c r="G99" s="1"/>
      <c r="H99" s="1"/>
      <c r="I99" s="1"/>
      <c r="J99" s="1"/>
      <c r="K99" s="1"/>
      <c r="L99" s="1"/>
      <c r="M99" s="1"/>
      <c r="N99" s="1"/>
      <c r="O99" s="1"/>
      <c r="P99" s="1"/>
      <c r="Q99" s="1"/>
      <c r="R99" s="1"/>
      <c r="S99" s="1"/>
      <c r="T99" s="1"/>
      <c r="U99" s="1"/>
      <c r="V99" s="1"/>
      <c r="W99" s="1"/>
      <c r="X99" s="1"/>
    </row>
    <row r="100" spans="1:24">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c r="A992" s="1"/>
      <c r="B992" s="1"/>
      <c r="C992" s="1"/>
      <c r="D992" s="1"/>
      <c r="E992" s="1"/>
      <c r="F992" s="1"/>
      <c r="G992" s="1"/>
      <c r="H992" s="1"/>
      <c r="I992" s="1"/>
      <c r="J992" s="1"/>
      <c r="K992" s="1"/>
      <c r="L992" s="1"/>
      <c r="M992" s="1"/>
      <c r="N992" s="1"/>
      <c r="O992" s="1"/>
      <c r="P992" s="1"/>
      <c r="Q992" s="1"/>
      <c r="R992" s="1"/>
      <c r="S992" s="1"/>
      <c r="T992" s="1"/>
      <c r="U992" s="1"/>
      <c r="V992" s="1"/>
      <c r="W992" s="1"/>
      <c r="X992" s="1"/>
    </row>
  </sheetData>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FF"/>
    <outlinePr summaryBelow="0" summaryRight="0"/>
  </sheetPr>
  <dimension ref="A1:CR57"/>
  <sheetViews>
    <sheetView workbookViewId="0">
      <pane xSplit="4" ySplit="2" topLeftCell="E3" activePane="bottomRight" state="frozen"/>
      <selection pane="bottomRight"/>
      <selection pane="bottomLeft" activeCell="A3" sqref="A3"/>
      <selection pane="topRight" activeCell="E1" sqref="E1"/>
    </sheetView>
  </sheetViews>
  <sheetFormatPr defaultColWidth="14.42578125" defaultRowHeight="15" customHeight="1"/>
  <cols>
    <col min="1" max="1" width="11.5703125" customWidth="1"/>
    <col min="2" max="2" width="72.5703125" customWidth="1"/>
    <col min="3" max="3" width="8.28515625" customWidth="1"/>
    <col min="4" max="4" width="12.140625" customWidth="1"/>
    <col min="5" max="5" width="14.7109375" customWidth="1"/>
    <col min="6" max="7" width="11.28515625" customWidth="1"/>
    <col min="8" max="8" width="15.7109375" customWidth="1"/>
    <col min="9" max="9" width="20.28515625" customWidth="1"/>
    <col min="10" max="10" width="23.42578125" customWidth="1"/>
    <col min="11" max="11" width="13.85546875" customWidth="1"/>
    <col min="12" max="12" width="21.5703125" customWidth="1"/>
    <col min="13" max="13" width="24.7109375" customWidth="1"/>
    <col min="14" max="14" width="13.85546875" customWidth="1"/>
    <col min="15" max="15" width="29.5703125" customWidth="1"/>
    <col min="16" max="16" width="29.7109375" customWidth="1"/>
    <col min="17" max="18" width="29.85546875" customWidth="1"/>
    <col min="19" max="20" width="29.7109375" customWidth="1"/>
    <col min="21" max="21" width="32.7109375" customWidth="1"/>
    <col min="22" max="22" width="32.85546875" customWidth="1"/>
    <col min="23" max="24" width="33" customWidth="1"/>
    <col min="25" max="26" width="32.85546875" customWidth="1"/>
    <col min="27" max="27" width="15.140625" customWidth="1"/>
    <col min="28" max="28" width="21.7109375" customWidth="1"/>
    <col min="29" max="29" width="24.85546875" customWidth="1"/>
    <col min="30" max="30" width="13.85546875" customWidth="1"/>
    <col min="31" max="31" width="19.7109375" customWidth="1"/>
    <col min="32" max="32" width="22.85546875" customWidth="1"/>
    <col min="33" max="33" width="22.28515625" customWidth="1"/>
    <col min="34" max="34" width="23.28515625" customWidth="1"/>
    <col min="35" max="35" width="26.42578125" customWidth="1"/>
    <col min="36" max="36" width="12.5703125" customWidth="1"/>
    <col min="37" max="37" width="13.85546875" customWidth="1"/>
    <col min="38" max="38" width="31.28515625" customWidth="1"/>
    <col min="39" max="39" width="17" customWidth="1"/>
    <col min="40" max="40" width="24" customWidth="1"/>
    <col min="41" max="42" width="13.85546875" customWidth="1"/>
    <col min="43" max="43" width="17" customWidth="1"/>
    <col min="44" max="44" width="12.7109375" customWidth="1"/>
    <col min="45" max="45" width="15.5703125" customWidth="1"/>
    <col min="46" max="46" width="20.28515625" customWidth="1"/>
    <col min="47" max="47" width="17" customWidth="1"/>
    <col min="48" max="49" width="13.85546875" customWidth="1"/>
    <col min="50" max="50" width="16.85546875" customWidth="1"/>
    <col min="51" max="51" width="30.7109375" customWidth="1"/>
    <col min="52" max="52" width="16.85546875" customWidth="1"/>
    <col min="53" max="53" width="47.42578125" customWidth="1"/>
    <col min="54" max="54" width="54.7109375" customWidth="1"/>
    <col min="55" max="55" width="55.85546875" customWidth="1"/>
    <col min="56" max="56" width="42.85546875" customWidth="1"/>
    <col min="57" max="57" width="50.7109375" customWidth="1"/>
    <col min="58" max="58" width="54.28515625" customWidth="1"/>
    <col min="59" max="59" width="12.5703125" customWidth="1"/>
    <col min="60" max="60" width="15.140625" customWidth="1"/>
    <col min="61" max="61" width="25.28515625" customWidth="1"/>
    <col min="62" max="63" width="21.85546875" customWidth="1"/>
    <col min="64" max="64" width="14.85546875" customWidth="1"/>
    <col min="65" max="65" width="16.140625" customWidth="1"/>
    <col min="66" max="66" width="30.7109375" customWidth="1"/>
    <col min="67" max="67" width="30.85546875" customWidth="1"/>
    <col min="68" max="69" width="31" customWidth="1"/>
    <col min="70" max="71" width="30.85546875" customWidth="1"/>
    <col min="72" max="72" width="14.42578125" customWidth="1"/>
    <col min="73" max="73" width="14.28515625" customWidth="1"/>
    <col min="74" max="74" width="17.85546875" customWidth="1"/>
    <col min="75" max="75" width="21" customWidth="1"/>
    <col min="76" max="76" width="16.85546875" customWidth="1"/>
    <col min="77" max="77" width="15" customWidth="1"/>
    <col min="78" max="78" width="17.28515625" customWidth="1"/>
    <col min="79" max="79" width="16.28515625" customWidth="1"/>
    <col min="80" max="80" width="13.85546875" customWidth="1"/>
    <col min="81" max="81" width="13.7109375" customWidth="1"/>
    <col min="82" max="82" width="14.42578125" customWidth="1"/>
    <col min="83" max="83" width="14.140625" customWidth="1"/>
    <col min="84" max="84" width="23.85546875" customWidth="1"/>
    <col min="85" max="85" width="13.85546875" customWidth="1"/>
    <col min="86" max="86" width="20.28515625" customWidth="1"/>
    <col min="87" max="87" width="12.42578125" customWidth="1"/>
    <col min="88" max="96" width="15.5703125" customWidth="1"/>
  </cols>
  <sheetData>
    <row r="1" spans="1:96">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c r="AK1" s="1">
        <v>37</v>
      </c>
      <c r="AL1" s="1">
        <v>38</v>
      </c>
      <c r="AM1" s="1">
        <v>39</v>
      </c>
      <c r="AN1" s="1">
        <v>40</v>
      </c>
      <c r="AO1" s="1">
        <v>41</v>
      </c>
      <c r="AP1" s="1">
        <v>42</v>
      </c>
      <c r="AQ1" s="1">
        <v>43</v>
      </c>
      <c r="AR1" s="1">
        <v>44</v>
      </c>
      <c r="AS1" s="1">
        <v>45</v>
      </c>
      <c r="AT1" s="1">
        <v>46</v>
      </c>
      <c r="AU1" s="1">
        <v>47</v>
      </c>
      <c r="AV1" s="1">
        <v>48</v>
      </c>
      <c r="AW1" s="1">
        <v>49</v>
      </c>
      <c r="AX1" s="1">
        <v>50</v>
      </c>
      <c r="AY1" s="1">
        <v>51</v>
      </c>
      <c r="AZ1" s="1">
        <v>52</v>
      </c>
      <c r="BA1" s="1">
        <v>53</v>
      </c>
      <c r="BB1" s="1">
        <v>54</v>
      </c>
      <c r="BC1" s="1">
        <v>55</v>
      </c>
      <c r="BD1" s="1">
        <v>56</v>
      </c>
      <c r="BE1" s="1">
        <v>57</v>
      </c>
      <c r="BF1" s="1">
        <v>58</v>
      </c>
      <c r="BG1" s="1">
        <v>59</v>
      </c>
      <c r="BH1" s="53">
        <v>60</v>
      </c>
      <c r="BI1" s="53">
        <v>61</v>
      </c>
      <c r="BJ1" s="53">
        <v>62</v>
      </c>
      <c r="BK1" s="53">
        <v>63</v>
      </c>
      <c r="BL1" s="53">
        <v>64</v>
      </c>
      <c r="BM1" s="53">
        <v>65</v>
      </c>
      <c r="BN1" s="53">
        <v>66</v>
      </c>
      <c r="BO1" s="53">
        <v>67</v>
      </c>
      <c r="BP1" s="53">
        <v>68</v>
      </c>
      <c r="BQ1" s="53">
        <v>69</v>
      </c>
      <c r="BR1" s="53">
        <v>70</v>
      </c>
      <c r="BS1" s="53">
        <v>71</v>
      </c>
      <c r="BT1" s="53">
        <v>72</v>
      </c>
      <c r="BU1" s="53">
        <v>73</v>
      </c>
      <c r="BV1" s="53">
        <v>74</v>
      </c>
      <c r="BW1" s="53">
        <v>75</v>
      </c>
      <c r="BX1" s="53">
        <v>76</v>
      </c>
      <c r="BY1" s="53">
        <v>77</v>
      </c>
      <c r="BZ1" s="53">
        <v>78</v>
      </c>
      <c r="CA1" s="1">
        <v>79</v>
      </c>
      <c r="CB1" s="1">
        <v>80</v>
      </c>
      <c r="CC1" s="1">
        <v>81</v>
      </c>
      <c r="CD1" s="1">
        <v>82</v>
      </c>
      <c r="CE1" s="1">
        <v>83</v>
      </c>
      <c r="CF1" s="1">
        <v>84</v>
      </c>
      <c r="CG1" s="1">
        <v>85</v>
      </c>
      <c r="CH1" s="1">
        <v>86</v>
      </c>
      <c r="CI1" s="1">
        <v>87</v>
      </c>
      <c r="CJ1" s="1">
        <v>88</v>
      </c>
      <c r="CK1" s="1">
        <v>89</v>
      </c>
      <c r="CL1" s="1">
        <v>90</v>
      </c>
      <c r="CM1" s="1">
        <v>91</v>
      </c>
      <c r="CN1" s="1">
        <v>92</v>
      </c>
      <c r="CO1" s="1">
        <v>93</v>
      </c>
      <c r="CP1" s="1">
        <v>94</v>
      </c>
      <c r="CQ1" s="1">
        <v>95</v>
      </c>
      <c r="CR1" s="1">
        <v>96</v>
      </c>
    </row>
    <row r="2" spans="1:96">
      <c r="A2" s="1" t="s">
        <v>240</v>
      </c>
      <c r="B2" s="1" t="s">
        <v>241</v>
      </c>
      <c r="C2" s="1" t="s">
        <v>242</v>
      </c>
      <c r="D2" s="1" t="s">
        <v>243</v>
      </c>
      <c r="E2" s="1" t="s">
        <v>244</v>
      </c>
      <c r="F2" s="1" t="s">
        <v>245</v>
      </c>
      <c r="G2" s="1" t="s">
        <v>246</v>
      </c>
      <c r="H2" s="1" t="s">
        <v>247</v>
      </c>
      <c r="I2" s="1" t="s">
        <v>248</v>
      </c>
      <c r="J2" s="1" t="s">
        <v>249</v>
      </c>
      <c r="K2" s="1" t="s">
        <v>250</v>
      </c>
      <c r="L2" s="1" t="s">
        <v>251</v>
      </c>
      <c r="M2" s="1" t="s">
        <v>252</v>
      </c>
      <c r="N2" s="1" t="s">
        <v>253</v>
      </c>
      <c r="O2" s="1" t="s">
        <v>254</v>
      </c>
      <c r="P2" s="1" t="s">
        <v>255</v>
      </c>
      <c r="Q2" s="1" t="s">
        <v>256</v>
      </c>
      <c r="R2" s="1" t="s">
        <v>257</v>
      </c>
      <c r="S2" s="1" t="s">
        <v>258</v>
      </c>
      <c r="T2" s="1" t="s">
        <v>259</v>
      </c>
      <c r="U2" s="1" t="s">
        <v>260</v>
      </c>
      <c r="V2" s="1" t="s">
        <v>261</v>
      </c>
      <c r="W2" s="1" t="s">
        <v>262</v>
      </c>
      <c r="X2" s="1" t="s">
        <v>263</v>
      </c>
      <c r="Y2" s="1" t="s">
        <v>264</v>
      </c>
      <c r="Z2" s="1" t="s">
        <v>265</v>
      </c>
      <c r="AA2" s="1" t="s">
        <v>266</v>
      </c>
      <c r="AB2" s="1" t="s">
        <v>267</v>
      </c>
      <c r="AC2" s="1" t="s">
        <v>268</v>
      </c>
      <c r="AD2" s="1" t="s">
        <v>269</v>
      </c>
      <c r="AE2" s="1" t="s">
        <v>270</v>
      </c>
      <c r="AF2" s="1" t="s">
        <v>271</v>
      </c>
      <c r="AG2" s="1" t="s">
        <v>27</v>
      </c>
      <c r="AH2" s="1" t="s">
        <v>272</v>
      </c>
      <c r="AI2" s="1" t="s">
        <v>273</v>
      </c>
      <c r="AJ2" s="1" t="s">
        <v>28</v>
      </c>
      <c r="AK2" s="1" t="s">
        <v>29</v>
      </c>
      <c r="AL2" s="1" t="s">
        <v>30</v>
      </c>
      <c r="AM2" s="1" t="s">
        <v>274</v>
      </c>
      <c r="AN2" s="1" t="s">
        <v>275</v>
      </c>
      <c r="AO2" s="1" t="s">
        <v>276</v>
      </c>
      <c r="AP2" s="1" t="s">
        <v>277</v>
      </c>
      <c r="AQ2" s="1" t="s">
        <v>278</v>
      </c>
      <c r="AR2" s="1" t="s">
        <v>279</v>
      </c>
      <c r="AS2" s="1" t="s">
        <v>280</v>
      </c>
      <c r="AT2" s="1" t="s">
        <v>281</v>
      </c>
      <c r="AU2" s="1" t="s">
        <v>282</v>
      </c>
      <c r="AV2" s="1" t="s">
        <v>283</v>
      </c>
      <c r="AW2" s="1" t="s">
        <v>277</v>
      </c>
      <c r="AX2" s="1" t="s">
        <v>69</v>
      </c>
      <c r="AY2" s="1" t="s">
        <v>194</v>
      </c>
      <c r="AZ2" s="1" t="s">
        <v>284</v>
      </c>
      <c r="BA2" s="1" t="s">
        <v>285</v>
      </c>
      <c r="BB2" s="1" t="s">
        <v>286</v>
      </c>
      <c r="BC2" s="1" t="s">
        <v>287</v>
      </c>
      <c r="BD2" s="1" t="s">
        <v>288</v>
      </c>
      <c r="BE2" s="1" t="s">
        <v>289</v>
      </c>
      <c r="BF2" s="1" t="s">
        <v>290</v>
      </c>
      <c r="BG2" s="1" t="s">
        <v>291</v>
      </c>
      <c r="BH2" s="53" t="s">
        <v>292</v>
      </c>
      <c r="BI2" s="53" t="s">
        <v>293</v>
      </c>
      <c r="BJ2" s="53" t="s">
        <v>294</v>
      </c>
      <c r="BK2" s="53" t="s">
        <v>295</v>
      </c>
      <c r="BL2" s="53" t="s">
        <v>296</v>
      </c>
      <c r="BM2" s="53" t="s">
        <v>297</v>
      </c>
      <c r="BN2" s="53" t="s">
        <v>298</v>
      </c>
      <c r="BO2" s="53" t="s">
        <v>299</v>
      </c>
      <c r="BP2" s="53" t="s">
        <v>300</v>
      </c>
      <c r="BQ2" s="53" t="s">
        <v>301</v>
      </c>
      <c r="BR2" s="53" t="s">
        <v>302</v>
      </c>
      <c r="BS2" s="53" t="s">
        <v>303</v>
      </c>
      <c r="BT2" s="53" t="s">
        <v>304</v>
      </c>
      <c r="BU2" s="53" t="s">
        <v>305</v>
      </c>
      <c r="BV2" s="53" t="s">
        <v>306</v>
      </c>
      <c r="BW2" s="53" t="s">
        <v>307</v>
      </c>
      <c r="BX2" s="53" t="s">
        <v>308</v>
      </c>
      <c r="BY2" s="53" t="s">
        <v>309</v>
      </c>
      <c r="BZ2" s="53" t="s">
        <v>310</v>
      </c>
      <c r="CA2" s="1" t="s">
        <v>311</v>
      </c>
      <c r="CB2" s="1" t="s">
        <v>312</v>
      </c>
      <c r="CC2" s="1" t="s">
        <v>313</v>
      </c>
      <c r="CD2" s="1" t="s">
        <v>314</v>
      </c>
      <c r="CE2" s="1" t="s">
        <v>315</v>
      </c>
      <c r="CF2" s="1" t="s">
        <v>316</v>
      </c>
      <c r="CG2" s="1" t="s">
        <v>317</v>
      </c>
      <c r="CH2" s="1" t="s">
        <v>318</v>
      </c>
      <c r="CI2" s="1" t="s">
        <v>319</v>
      </c>
      <c r="CJ2" s="1" t="s">
        <v>320</v>
      </c>
      <c r="CK2" s="1"/>
      <c r="CL2" s="1"/>
      <c r="CM2" s="1"/>
      <c r="CN2" s="1"/>
      <c r="CO2" s="1"/>
      <c r="CP2" s="1"/>
      <c r="CQ2" s="1"/>
      <c r="CR2" s="1"/>
    </row>
    <row r="3" spans="1:96">
      <c r="A3" s="1">
        <v>2042048</v>
      </c>
      <c r="B3" s="1" t="s">
        <v>321</v>
      </c>
      <c r="C3" s="1" t="s">
        <v>322</v>
      </c>
      <c r="D3" s="1" t="s">
        <v>14</v>
      </c>
      <c r="E3" s="1">
        <v>391</v>
      </c>
      <c r="F3" s="1">
        <v>0</v>
      </c>
      <c r="G3" s="1">
        <v>0</v>
      </c>
      <c r="H3" s="54">
        <v>1857449.41</v>
      </c>
      <c r="I3" s="1">
        <v>207</v>
      </c>
      <c r="J3" s="1">
        <v>0</v>
      </c>
      <c r="K3" s="54">
        <v>120362.22</v>
      </c>
      <c r="L3" s="1">
        <v>208</v>
      </c>
      <c r="M3" s="1">
        <v>0</v>
      </c>
      <c r="N3" s="54">
        <v>202396.48</v>
      </c>
      <c r="O3" s="1">
        <v>15</v>
      </c>
      <c r="P3" s="1">
        <v>17</v>
      </c>
      <c r="Q3" s="1">
        <v>16</v>
      </c>
      <c r="R3" s="1">
        <v>157</v>
      </c>
      <c r="S3" s="1">
        <v>178</v>
      </c>
      <c r="T3" s="1">
        <v>2</v>
      </c>
      <c r="U3" s="1">
        <v>0</v>
      </c>
      <c r="V3" s="1">
        <v>0</v>
      </c>
      <c r="W3" s="1">
        <v>0</v>
      </c>
      <c r="X3" s="1">
        <v>0</v>
      </c>
      <c r="Y3" s="1">
        <v>0</v>
      </c>
      <c r="Z3" s="1">
        <v>0</v>
      </c>
      <c r="AA3" s="54">
        <v>219134.62</v>
      </c>
      <c r="AB3" s="1">
        <v>93.933933929999995</v>
      </c>
      <c r="AC3" s="1">
        <v>0</v>
      </c>
      <c r="AD3" s="54">
        <v>65765.97</v>
      </c>
      <c r="AE3" s="1">
        <v>147.96808659999999</v>
      </c>
      <c r="AF3" s="1">
        <v>0</v>
      </c>
      <c r="AG3" s="54">
        <v>205437.41</v>
      </c>
      <c r="AH3" s="1">
        <v>0</v>
      </c>
      <c r="AI3" s="1">
        <v>0</v>
      </c>
      <c r="AJ3" s="54">
        <v>0</v>
      </c>
      <c r="AK3" s="54">
        <v>159487.1</v>
      </c>
      <c r="AL3" s="54">
        <v>40704</v>
      </c>
      <c r="AM3" s="54">
        <v>2730570.16</v>
      </c>
      <c r="AN3" s="54">
        <v>84473.72</v>
      </c>
      <c r="AO3" s="54">
        <v>32379</v>
      </c>
      <c r="AP3" s="54">
        <v>159487.1</v>
      </c>
      <c r="AQ3" s="54">
        <v>2623177.7799999998</v>
      </c>
      <c r="AR3" s="54">
        <v>387</v>
      </c>
      <c r="AS3" s="54">
        <v>6778.2371579999999</v>
      </c>
      <c r="AT3" s="54">
        <v>6812.1283430000003</v>
      </c>
      <c r="AU3" s="54">
        <v>2663542.182</v>
      </c>
      <c r="AV3" s="54">
        <v>40704</v>
      </c>
      <c r="AW3" s="54">
        <v>159487.1</v>
      </c>
      <c r="AX3" s="54">
        <v>2863733.28</v>
      </c>
      <c r="AY3" s="54">
        <v>0</v>
      </c>
      <c r="AZ3" s="54">
        <v>2870737.21</v>
      </c>
      <c r="BA3" s="54">
        <v>4699.82</v>
      </c>
      <c r="BB3" s="28">
        <v>8078.32</v>
      </c>
      <c r="BC3" s="54">
        <v>1321.58</v>
      </c>
      <c r="BD3" s="54">
        <v>1180.82</v>
      </c>
      <c r="BE3" s="54">
        <v>3440.8</v>
      </c>
      <c r="BF3" s="54">
        <v>10205.1</v>
      </c>
      <c r="BG3" s="54">
        <v>28926.440000000002</v>
      </c>
      <c r="BH3" s="55">
        <v>387</v>
      </c>
      <c r="BI3" s="55">
        <v>1786779</v>
      </c>
      <c r="BJ3" s="55">
        <v>0</v>
      </c>
      <c r="BK3" s="55">
        <v>0</v>
      </c>
      <c r="BL3" s="55">
        <v>111282.6</v>
      </c>
      <c r="BM3" s="55">
        <v>165123.43</v>
      </c>
      <c r="BN3" s="55">
        <v>5469</v>
      </c>
      <c r="BO3" s="55">
        <v>5659.3</v>
      </c>
      <c r="BP3" s="55">
        <v>6800.56</v>
      </c>
      <c r="BQ3" s="55">
        <v>89026.08</v>
      </c>
      <c r="BR3" s="55">
        <v>107323.95</v>
      </c>
      <c r="BS3" s="55">
        <v>796.58</v>
      </c>
      <c r="BT3" s="55">
        <v>61881.41</v>
      </c>
      <c r="BU3" s="55">
        <v>192477.55</v>
      </c>
      <c r="BV3" s="55">
        <v>0</v>
      </c>
      <c r="BW3" s="55">
        <v>152181.76000000001</v>
      </c>
      <c r="BX3" s="55">
        <v>32379</v>
      </c>
      <c r="BY3" s="55">
        <v>13389.94</v>
      </c>
      <c r="BZ3" s="55">
        <v>2730570.16</v>
      </c>
      <c r="CA3" s="54">
        <v>54752.76</v>
      </c>
      <c r="CB3" s="54">
        <v>0</v>
      </c>
      <c r="CC3" s="54">
        <v>0</v>
      </c>
      <c r="CD3" s="54">
        <v>24235.4</v>
      </c>
      <c r="CE3" s="54">
        <v>5362.01</v>
      </c>
      <c r="CF3" s="28">
        <v>0</v>
      </c>
      <c r="CG3" s="54">
        <v>25387</v>
      </c>
      <c r="CH3" s="54">
        <v>14282.25</v>
      </c>
      <c r="CI3" s="54">
        <v>8125</v>
      </c>
      <c r="CJ3" s="54">
        <v>0</v>
      </c>
      <c r="CK3" s="54"/>
      <c r="CL3" s="54"/>
      <c r="CM3" s="54"/>
      <c r="CN3" s="54"/>
      <c r="CO3" s="54"/>
      <c r="CP3" s="54"/>
      <c r="CQ3" s="54"/>
      <c r="CR3" s="54"/>
    </row>
    <row r="4" spans="1:96">
      <c r="A4" s="1">
        <v>2042120</v>
      </c>
      <c r="B4" s="1" t="s">
        <v>323</v>
      </c>
      <c r="C4" s="1" t="s">
        <v>322</v>
      </c>
      <c r="D4" s="1" t="s">
        <v>14</v>
      </c>
      <c r="E4" s="1">
        <v>116</v>
      </c>
      <c r="F4" s="1">
        <v>0</v>
      </c>
      <c r="G4" s="1">
        <v>0</v>
      </c>
      <c r="H4" s="54">
        <v>551059.16</v>
      </c>
      <c r="I4" s="1">
        <v>36</v>
      </c>
      <c r="J4" s="1">
        <v>0</v>
      </c>
      <c r="K4" s="54">
        <v>20932.560000000001</v>
      </c>
      <c r="L4" s="1">
        <v>38</v>
      </c>
      <c r="M4" s="1">
        <v>0</v>
      </c>
      <c r="N4" s="54">
        <v>36976.28</v>
      </c>
      <c r="O4" s="1">
        <v>12</v>
      </c>
      <c r="P4" s="1">
        <v>50</v>
      </c>
      <c r="Q4" s="1">
        <v>18</v>
      </c>
      <c r="R4" s="1">
        <v>10</v>
      </c>
      <c r="S4" s="1">
        <v>19</v>
      </c>
      <c r="T4" s="1">
        <v>4</v>
      </c>
      <c r="U4" s="1">
        <v>0</v>
      </c>
      <c r="V4" s="1">
        <v>0</v>
      </c>
      <c r="W4" s="1">
        <v>0</v>
      </c>
      <c r="X4" s="1">
        <v>0</v>
      </c>
      <c r="Y4" s="1">
        <v>0</v>
      </c>
      <c r="Z4" s="1">
        <v>0</v>
      </c>
      <c r="AA4" s="54">
        <v>50356.01</v>
      </c>
      <c r="AB4" s="1">
        <v>30.407766989999999</v>
      </c>
      <c r="AC4" s="1">
        <v>0</v>
      </c>
      <c r="AD4" s="54">
        <v>21289.39</v>
      </c>
      <c r="AE4" s="1">
        <v>42.408070469999998</v>
      </c>
      <c r="AF4" s="1">
        <v>0</v>
      </c>
      <c r="AG4" s="54">
        <v>58878.94</v>
      </c>
      <c r="AH4" s="1">
        <v>0</v>
      </c>
      <c r="AI4" s="1">
        <v>0</v>
      </c>
      <c r="AJ4" s="54">
        <v>0</v>
      </c>
      <c r="AK4" s="54">
        <v>159487.1</v>
      </c>
      <c r="AL4" s="54">
        <v>25948</v>
      </c>
      <c r="AM4" s="54">
        <v>1009201.52</v>
      </c>
      <c r="AN4" s="54">
        <v>30309.05</v>
      </c>
      <c r="AO4" s="54">
        <v>22013</v>
      </c>
      <c r="AP4" s="54">
        <v>159487.1</v>
      </c>
      <c r="AQ4" s="54">
        <v>858010.47</v>
      </c>
      <c r="AR4" s="54">
        <v>137</v>
      </c>
      <c r="AS4" s="54">
        <v>6262.8501459999998</v>
      </c>
      <c r="AT4" s="54">
        <v>6294.1643969999996</v>
      </c>
      <c r="AU4" s="54">
        <v>730123.07</v>
      </c>
      <c r="AV4" s="54">
        <v>25948</v>
      </c>
      <c r="AW4" s="54">
        <v>159487.1</v>
      </c>
      <c r="AX4" s="54">
        <v>915558.17</v>
      </c>
      <c r="AY4" s="54">
        <v>0</v>
      </c>
      <c r="AZ4" s="54">
        <v>924927.44</v>
      </c>
      <c r="BA4" s="54">
        <v>1394.32</v>
      </c>
      <c r="BB4" s="28">
        <v>2615.0700000000002</v>
      </c>
      <c r="BC4" s="54">
        <v>392.08</v>
      </c>
      <c r="BD4" s="54">
        <v>350.32</v>
      </c>
      <c r="BE4" s="54">
        <v>1020.8</v>
      </c>
      <c r="BF4" s="54">
        <v>3027.6</v>
      </c>
      <c r="BG4" s="54">
        <v>8800.19</v>
      </c>
      <c r="BH4" s="55">
        <v>137</v>
      </c>
      <c r="BI4" s="55">
        <v>632529</v>
      </c>
      <c r="BJ4" s="55">
        <v>0</v>
      </c>
      <c r="BK4" s="55">
        <v>0</v>
      </c>
      <c r="BL4" s="55">
        <v>25109.919999999998</v>
      </c>
      <c r="BM4" s="55">
        <v>37718.550000000003</v>
      </c>
      <c r="BN4" s="55">
        <v>3554.85</v>
      </c>
      <c r="BO4" s="55">
        <v>20639.8</v>
      </c>
      <c r="BP4" s="55">
        <v>10462.4</v>
      </c>
      <c r="BQ4" s="55">
        <v>7989.52</v>
      </c>
      <c r="BR4" s="55">
        <v>12733.35</v>
      </c>
      <c r="BS4" s="55">
        <v>3186.32</v>
      </c>
      <c r="BT4" s="55">
        <v>21801.02</v>
      </c>
      <c r="BU4" s="55">
        <v>59282.03</v>
      </c>
      <c r="BV4" s="55">
        <v>0</v>
      </c>
      <c r="BW4" s="55">
        <v>152181.76000000001</v>
      </c>
      <c r="BX4" s="55">
        <v>22013</v>
      </c>
      <c r="BY4" s="55">
        <v>0</v>
      </c>
      <c r="BZ4" s="55">
        <v>1009201.52</v>
      </c>
      <c r="CA4" s="54">
        <v>19382.759999999998</v>
      </c>
      <c r="CB4" s="54">
        <v>0</v>
      </c>
      <c r="CC4" s="54">
        <v>0</v>
      </c>
      <c r="CD4" s="54">
        <v>5440.6</v>
      </c>
      <c r="CE4" s="54">
        <v>5362.01</v>
      </c>
      <c r="CF4" s="28">
        <v>0</v>
      </c>
      <c r="CG4" s="54">
        <v>9085</v>
      </c>
      <c r="CH4" s="54">
        <v>3190</v>
      </c>
      <c r="CI4" s="54">
        <v>7133</v>
      </c>
      <c r="CJ4" s="54">
        <v>0</v>
      </c>
      <c r="CK4" s="54"/>
      <c r="CL4" s="54"/>
      <c r="CM4" s="54"/>
      <c r="CN4" s="54"/>
      <c r="CO4" s="54"/>
      <c r="CP4" s="54"/>
      <c r="CQ4" s="54"/>
      <c r="CR4" s="54"/>
    </row>
    <row r="5" spans="1:96">
      <c r="A5" s="1">
        <v>2042150</v>
      </c>
      <c r="B5" s="1" t="s">
        <v>324</v>
      </c>
      <c r="C5" s="1" t="s">
        <v>322</v>
      </c>
      <c r="D5" s="1" t="s">
        <v>14</v>
      </c>
      <c r="E5" s="1">
        <v>361</v>
      </c>
      <c r="F5" s="1">
        <v>0</v>
      </c>
      <c r="G5" s="1">
        <v>0</v>
      </c>
      <c r="H5" s="54">
        <v>1714934.11</v>
      </c>
      <c r="I5" s="1">
        <v>147</v>
      </c>
      <c r="J5" s="1">
        <v>0</v>
      </c>
      <c r="K5" s="54">
        <v>85474.62</v>
      </c>
      <c r="L5" s="1">
        <v>150</v>
      </c>
      <c r="M5" s="1">
        <v>0</v>
      </c>
      <c r="N5" s="54">
        <v>145959</v>
      </c>
      <c r="O5" s="1">
        <v>38</v>
      </c>
      <c r="P5" s="1">
        <v>135</v>
      </c>
      <c r="Q5" s="1">
        <v>19</v>
      </c>
      <c r="R5" s="1">
        <v>74</v>
      </c>
      <c r="S5" s="1">
        <v>56</v>
      </c>
      <c r="T5" s="1">
        <v>28</v>
      </c>
      <c r="U5" s="1">
        <v>0</v>
      </c>
      <c r="V5" s="1">
        <v>0</v>
      </c>
      <c r="W5" s="1">
        <v>0</v>
      </c>
      <c r="X5" s="1">
        <v>0</v>
      </c>
      <c r="Y5" s="1">
        <v>0</v>
      </c>
      <c r="Z5" s="1">
        <v>0</v>
      </c>
      <c r="AA5" s="54">
        <v>165693.74</v>
      </c>
      <c r="AB5" s="1">
        <v>83.224550899999997</v>
      </c>
      <c r="AC5" s="1">
        <v>0</v>
      </c>
      <c r="AD5" s="54">
        <v>58268</v>
      </c>
      <c r="AE5" s="1">
        <v>74.518923610000002</v>
      </c>
      <c r="AF5" s="1">
        <v>0</v>
      </c>
      <c r="AG5" s="54">
        <v>103461.33</v>
      </c>
      <c r="AH5" s="1">
        <v>3.34</v>
      </c>
      <c r="AI5" s="1">
        <v>0</v>
      </c>
      <c r="AJ5" s="54">
        <v>3804.89</v>
      </c>
      <c r="AK5" s="54">
        <v>159487.1</v>
      </c>
      <c r="AL5" s="54">
        <v>65968</v>
      </c>
      <c r="AM5" s="54">
        <v>2884123.75</v>
      </c>
      <c r="AN5" s="54">
        <v>89463.6</v>
      </c>
      <c r="AO5" s="54">
        <v>52636</v>
      </c>
      <c r="AP5" s="54">
        <v>159487.1</v>
      </c>
      <c r="AQ5" s="54">
        <v>2761464.25</v>
      </c>
      <c r="AR5" s="54">
        <v>438</v>
      </c>
      <c r="AS5" s="54">
        <v>6304.7129000000004</v>
      </c>
      <c r="AT5" s="54">
        <v>6336.2364639999996</v>
      </c>
      <c r="AU5" s="54">
        <v>2287381.3640000001</v>
      </c>
      <c r="AV5" s="54">
        <v>65968</v>
      </c>
      <c r="AW5" s="54">
        <v>159487.1</v>
      </c>
      <c r="AX5" s="54">
        <v>2512836.46</v>
      </c>
      <c r="AY5" s="54">
        <v>9785.67</v>
      </c>
      <c r="AZ5" s="54">
        <v>2512836.46</v>
      </c>
      <c r="BA5" s="54">
        <v>4339.22</v>
      </c>
      <c r="BB5" s="28">
        <v>7157.31</v>
      </c>
      <c r="BC5" s="54">
        <v>1220.18</v>
      </c>
      <c r="BD5" s="54">
        <v>1090.22</v>
      </c>
      <c r="BE5" s="54">
        <v>3176.8</v>
      </c>
      <c r="BF5" s="54">
        <v>9422.1</v>
      </c>
      <c r="BG5" s="54">
        <v>26405.83</v>
      </c>
      <c r="BH5" s="55">
        <v>438</v>
      </c>
      <c r="BI5" s="55">
        <v>2022246</v>
      </c>
      <c r="BJ5" s="55">
        <v>0</v>
      </c>
      <c r="BK5" s="55">
        <v>0</v>
      </c>
      <c r="BL5" s="55">
        <v>100439.67999999999</v>
      </c>
      <c r="BM5" s="55">
        <v>150036.01</v>
      </c>
      <c r="BN5" s="55">
        <v>11484.9</v>
      </c>
      <c r="BO5" s="55">
        <v>58590.400000000001</v>
      </c>
      <c r="BP5" s="55">
        <v>13078</v>
      </c>
      <c r="BQ5" s="55">
        <v>55926.64</v>
      </c>
      <c r="BR5" s="55">
        <v>35774.65</v>
      </c>
      <c r="BS5" s="55">
        <v>21507.66</v>
      </c>
      <c r="BT5" s="55">
        <v>65520.1</v>
      </c>
      <c r="BU5" s="55">
        <v>106692.19</v>
      </c>
      <c r="BV5" s="55">
        <v>7550.12</v>
      </c>
      <c r="BW5" s="55">
        <v>152181.76000000001</v>
      </c>
      <c r="BX5" s="55">
        <v>52636</v>
      </c>
      <c r="BY5" s="55">
        <v>30459.64</v>
      </c>
      <c r="BZ5" s="55">
        <v>2884123.75</v>
      </c>
      <c r="CA5" s="54">
        <v>61968.24</v>
      </c>
      <c r="CB5" s="54">
        <v>0</v>
      </c>
      <c r="CC5" s="54">
        <v>0</v>
      </c>
      <c r="CD5" s="54">
        <v>21762.400000000001</v>
      </c>
      <c r="CE5" s="54">
        <v>5362.01</v>
      </c>
      <c r="CF5" s="28">
        <v>0</v>
      </c>
      <c r="CG5" s="54">
        <v>26833</v>
      </c>
      <c r="CH5" s="54">
        <v>12977.75</v>
      </c>
      <c r="CI5" s="54">
        <v>8188</v>
      </c>
      <c r="CJ5" s="54">
        <v>0</v>
      </c>
      <c r="CK5" s="54"/>
      <c r="CL5" s="54"/>
      <c r="CM5" s="54"/>
      <c r="CN5" s="54"/>
      <c r="CO5" s="54"/>
      <c r="CP5" s="54"/>
      <c r="CQ5" s="54"/>
      <c r="CR5" s="54"/>
    </row>
    <row r="6" spans="1:96">
      <c r="A6" s="1">
        <v>2042155</v>
      </c>
      <c r="B6" s="1" t="s">
        <v>325</v>
      </c>
      <c r="C6" s="1" t="s">
        <v>322</v>
      </c>
      <c r="D6" s="1" t="s">
        <v>14</v>
      </c>
      <c r="E6" s="1">
        <v>57</v>
      </c>
      <c r="F6" s="1">
        <v>0</v>
      </c>
      <c r="G6" s="1">
        <v>0</v>
      </c>
      <c r="H6" s="54">
        <v>270779.07</v>
      </c>
      <c r="I6" s="1">
        <v>35</v>
      </c>
      <c r="J6" s="1">
        <v>0</v>
      </c>
      <c r="K6" s="54">
        <v>20351.099999999999</v>
      </c>
      <c r="L6" s="1">
        <v>35</v>
      </c>
      <c r="M6" s="1">
        <v>0</v>
      </c>
      <c r="N6" s="54">
        <v>34057.1</v>
      </c>
      <c r="O6" s="1">
        <v>6</v>
      </c>
      <c r="P6" s="1">
        <v>4</v>
      </c>
      <c r="Q6" s="1">
        <v>8</v>
      </c>
      <c r="R6" s="1">
        <v>10</v>
      </c>
      <c r="S6" s="1">
        <v>16</v>
      </c>
      <c r="T6" s="1">
        <v>7</v>
      </c>
      <c r="U6" s="1">
        <v>0</v>
      </c>
      <c r="V6" s="1">
        <v>0</v>
      </c>
      <c r="W6" s="1">
        <v>0</v>
      </c>
      <c r="X6" s="1">
        <v>0</v>
      </c>
      <c r="Y6" s="1">
        <v>0</v>
      </c>
      <c r="Z6" s="1">
        <v>0</v>
      </c>
      <c r="AA6" s="54">
        <v>28432.39</v>
      </c>
      <c r="AB6" s="1">
        <v>7.8235294120000001</v>
      </c>
      <c r="AC6" s="1">
        <v>0</v>
      </c>
      <c r="AD6" s="54">
        <v>5477.49</v>
      </c>
      <c r="AE6" s="1">
        <v>18.321428569999998</v>
      </c>
      <c r="AF6" s="1">
        <v>0</v>
      </c>
      <c r="AG6" s="54">
        <v>25437.29</v>
      </c>
      <c r="AH6" s="1">
        <v>3.58</v>
      </c>
      <c r="AI6" s="1">
        <v>0</v>
      </c>
      <c r="AJ6" s="54">
        <v>4078.3</v>
      </c>
      <c r="AK6" s="54">
        <v>159487.1</v>
      </c>
      <c r="AL6" s="54">
        <v>24704</v>
      </c>
      <c r="AM6" s="54">
        <v>957546.55</v>
      </c>
      <c r="AN6" s="54">
        <v>31807.09</v>
      </c>
      <c r="AO6" s="54">
        <v>33162</v>
      </c>
      <c r="AP6" s="54">
        <v>159487.1</v>
      </c>
      <c r="AQ6" s="54">
        <v>796704.54</v>
      </c>
      <c r="AR6" s="54">
        <v>117</v>
      </c>
      <c r="AS6" s="54">
        <v>6809.4405129999996</v>
      </c>
      <c r="AT6" s="54">
        <v>6843.4877150000002</v>
      </c>
      <c r="AU6" s="54">
        <v>390078.79979999998</v>
      </c>
      <c r="AV6" s="54">
        <v>24704</v>
      </c>
      <c r="AW6" s="54">
        <v>159487.1</v>
      </c>
      <c r="AX6" s="54">
        <v>574269.9</v>
      </c>
      <c r="AY6" s="54">
        <v>1466.06</v>
      </c>
      <c r="AZ6" s="54">
        <v>574269.9</v>
      </c>
      <c r="BA6" s="54">
        <v>685.14</v>
      </c>
      <c r="BB6" s="28">
        <v>672.82</v>
      </c>
      <c r="BC6" s="54">
        <v>192.66</v>
      </c>
      <c r="BD6" s="54">
        <v>172.14</v>
      </c>
      <c r="BE6" s="54">
        <v>501.6</v>
      </c>
      <c r="BF6" s="54">
        <v>1487.7</v>
      </c>
      <c r="BG6" s="54">
        <v>3712.0600000000004</v>
      </c>
      <c r="BH6" s="55">
        <v>117</v>
      </c>
      <c r="BI6" s="55">
        <v>540189</v>
      </c>
      <c r="BJ6" s="55">
        <v>0</v>
      </c>
      <c r="BK6" s="55">
        <v>0</v>
      </c>
      <c r="BL6" s="55">
        <v>43942.36</v>
      </c>
      <c r="BM6" s="55">
        <v>67055.199999999997</v>
      </c>
      <c r="BN6" s="55">
        <v>2461.0500000000002</v>
      </c>
      <c r="BO6" s="55">
        <v>3661.9</v>
      </c>
      <c r="BP6" s="55">
        <v>12031.76</v>
      </c>
      <c r="BQ6" s="55">
        <v>7989.52</v>
      </c>
      <c r="BR6" s="55">
        <v>21222.25</v>
      </c>
      <c r="BS6" s="55">
        <v>10355.540000000001</v>
      </c>
      <c r="BT6" s="55">
        <v>17232.560000000001</v>
      </c>
      <c r="BU6" s="55">
        <v>37160.47</v>
      </c>
      <c r="BV6" s="55">
        <v>3348.12</v>
      </c>
      <c r="BW6" s="55">
        <v>152181.76000000001</v>
      </c>
      <c r="BX6" s="55">
        <v>33162</v>
      </c>
      <c r="BY6" s="55">
        <v>5553.06</v>
      </c>
      <c r="BZ6" s="55">
        <v>957546.55</v>
      </c>
      <c r="CA6" s="54">
        <v>16553.16</v>
      </c>
      <c r="CB6" s="54">
        <v>0</v>
      </c>
      <c r="CC6" s="54">
        <v>0</v>
      </c>
      <c r="CD6" s="54">
        <v>9892</v>
      </c>
      <c r="CE6" s="54">
        <v>5362.01</v>
      </c>
      <c r="CF6" s="28">
        <v>0</v>
      </c>
      <c r="CG6" s="54">
        <v>9555</v>
      </c>
      <c r="CH6" s="54">
        <v>5800</v>
      </c>
      <c r="CI6" s="54">
        <v>7092</v>
      </c>
      <c r="CJ6" s="54">
        <v>0</v>
      </c>
      <c r="CK6" s="54"/>
      <c r="CL6" s="54"/>
      <c r="CM6" s="54"/>
      <c r="CN6" s="54"/>
      <c r="CO6" s="54"/>
      <c r="CP6" s="54"/>
      <c r="CQ6" s="54"/>
      <c r="CR6" s="54"/>
    </row>
    <row r="7" spans="1:96">
      <c r="A7" s="1">
        <v>2042238</v>
      </c>
      <c r="B7" s="1" t="s">
        <v>326</v>
      </c>
      <c r="C7" s="1" t="s">
        <v>322</v>
      </c>
      <c r="D7" s="1" t="s">
        <v>14</v>
      </c>
      <c r="E7" s="1">
        <v>182</v>
      </c>
      <c r="F7" s="1">
        <v>0</v>
      </c>
      <c r="G7" s="1">
        <v>0</v>
      </c>
      <c r="H7" s="54">
        <v>864592.82</v>
      </c>
      <c r="I7" s="1">
        <v>109</v>
      </c>
      <c r="J7" s="1">
        <v>0</v>
      </c>
      <c r="K7" s="54">
        <v>63379.14</v>
      </c>
      <c r="L7" s="1">
        <v>110</v>
      </c>
      <c r="M7" s="1">
        <v>0</v>
      </c>
      <c r="N7" s="54">
        <v>107036.6</v>
      </c>
      <c r="O7" s="1">
        <v>4</v>
      </c>
      <c r="P7" s="1">
        <v>8</v>
      </c>
      <c r="Q7" s="1">
        <v>15</v>
      </c>
      <c r="R7" s="1">
        <v>65</v>
      </c>
      <c r="S7" s="1">
        <v>81</v>
      </c>
      <c r="T7" s="1">
        <v>2</v>
      </c>
      <c r="U7" s="1">
        <v>0</v>
      </c>
      <c r="V7" s="1">
        <v>0</v>
      </c>
      <c r="W7" s="1">
        <v>0</v>
      </c>
      <c r="X7" s="1">
        <v>0</v>
      </c>
      <c r="Y7" s="1">
        <v>0</v>
      </c>
      <c r="Z7" s="1">
        <v>0</v>
      </c>
      <c r="AA7" s="54">
        <v>100266.82</v>
      </c>
      <c r="AB7" s="1">
        <v>39.320987649999999</v>
      </c>
      <c r="AC7" s="1">
        <v>0</v>
      </c>
      <c r="AD7" s="54">
        <v>27529.8</v>
      </c>
      <c r="AE7" s="1">
        <v>72.860666670000001</v>
      </c>
      <c r="AF7" s="1">
        <v>0</v>
      </c>
      <c r="AG7" s="54">
        <v>101159.02</v>
      </c>
      <c r="AH7" s="1">
        <v>13.08</v>
      </c>
      <c r="AI7" s="1">
        <v>0</v>
      </c>
      <c r="AJ7" s="54">
        <v>14900.61</v>
      </c>
      <c r="AK7" s="54">
        <v>159487.1</v>
      </c>
      <c r="AL7" s="54">
        <v>39634</v>
      </c>
      <c r="AM7" s="54">
        <v>1384739.32</v>
      </c>
      <c r="AN7" s="54">
        <v>42680.92</v>
      </c>
      <c r="AO7" s="54">
        <v>50737</v>
      </c>
      <c r="AP7" s="54">
        <v>159487.1</v>
      </c>
      <c r="AQ7" s="54">
        <v>1217196.1399999999</v>
      </c>
      <c r="AR7" s="54">
        <v>179</v>
      </c>
      <c r="AS7" s="54">
        <v>6799.9784360000003</v>
      </c>
      <c r="AT7" s="54">
        <v>6833.9783280000001</v>
      </c>
      <c r="AU7" s="54">
        <v>1243784.0560000001</v>
      </c>
      <c r="AV7" s="54">
        <v>39634</v>
      </c>
      <c r="AW7" s="54">
        <v>159487.1</v>
      </c>
      <c r="AX7" s="54">
        <v>1442905.16</v>
      </c>
      <c r="AY7" s="54">
        <v>0</v>
      </c>
      <c r="AZ7" s="54">
        <v>1477985.91</v>
      </c>
      <c r="BA7" s="54">
        <v>2187.64</v>
      </c>
      <c r="BB7" s="28">
        <v>3381.6</v>
      </c>
      <c r="BC7" s="54">
        <v>615.16</v>
      </c>
      <c r="BD7" s="54">
        <v>549.64</v>
      </c>
      <c r="BE7" s="54">
        <v>1601.6</v>
      </c>
      <c r="BF7" s="54">
        <v>4750.2</v>
      </c>
      <c r="BG7" s="54">
        <v>13085.84</v>
      </c>
      <c r="BH7" s="55">
        <v>179</v>
      </c>
      <c r="BI7" s="55">
        <v>826443</v>
      </c>
      <c r="BJ7" s="55">
        <v>0</v>
      </c>
      <c r="BK7" s="55">
        <v>0</v>
      </c>
      <c r="BL7" s="55">
        <v>55355.96</v>
      </c>
      <c r="BM7" s="55">
        <v>81304.429999999993</v>
      </c>
      <c r="BN7" s="55">
        <v>1093.8</v>
      </c>
      <c r="BO7" s="55">
        <v>2663.2</v>
      </c>
      <c r="BP7" s="55">
        <v>10462.4</v>
      </c>
      <c r="BQ7" s="55">
        <v>35952.839999999997</v>
      </c>
      <c r="BR7" s="55">
        <v>43050.85</v>
      </c>
      <c r="BS7" s="55">
        <v>2389.7399999999998</v>
      </c>
      <c r="BT7" s="55">
        <v>20301.490000000002</v>
      </c>
      <c r="BU7" s="55">
        <v>75703.13</v>
      </c>
      <c r="BV7" s="55">
        <v>14898.01</v>
      </c>
      <c r="BW7" s="55">
        <v>152181.76000000001</v>
      </c>
      <c r="BX7" s="55">
        <v>50737</v>
      </c>
      <c r="BY7" s="55">
        <v>12201.71</v>
      </c>
      <c r="BZ7" s="55">
        <v>1384739.32</v>
      </c>
      <c r="CA7" s="54">
        <v>25324.92</v>
      </c>
      <c r="CB7" s="54">
        <v>0</v>
      </c>
      <c r="CC7" s="54">
        <v>0</v>
      </c>
      <c r="CD7" s="54">
        <v>11994.05</v>
      </c>
      <c r="CE7" s="54">
        <v>5362.01</v>
      </c>
      <c r="CF7" s="28">
        <v>10</v>
      </c>
      <c r="CG7" s="54">
        <v>12836</v>
      </c>
      <c r="CH7" s="54">
        <v>7952.75</v>
      </c>
      <c r="CI7" s="54">
        <v>7313</v>
      </c>
      <c r="CJ7" s="54">
        <v>15080</v>
      </c>
      <c r="CK7" s="54"/>
      <c r="CL7" s="54"/>
      <c r="CM7" s="54"/>
      <c r="CN7" s="54"/>
      <c r="CO7" s="54"/>
      <c r="CP7" s="54"/>
      <c r="CQ7" s="54"/>
      <c r="CR7" s="54"/>
    </row>
    <row r="8" spans="1:96">
      <c r="A8" s="1">
        <v>2042376</v>
      </c>
      <c r="B8" s="1" t="s">
        <v>327</v>
      </c>
      <c r="C8" s="1" t="s">
        <v>322</v>
      </c>
      <c r="D8" s="1" t="s">
        <v>14</v>
      </c>
      <c r="E8" s="1">
        <v>384</v>
      </c>
      <c r="F8" s="1">
        <v>0</v>
      </c>
      <c r="G8" s="1">
        <v>0</v>
      </c>
      <c r="H8" s="54">
        <v>1824195.84</v>
      </c>
      <c r="I8" s="1">
        <v>111</v>
      </c>
      <c r="J8" s="1">
        <v>0</v>
      </c>
      <c r="K8" s="54">
        <v>64542.06</v>
      </c>
      <c r="L8" s="1">
        <v>111</v>
      </c>
      <c r="M8" s="1">
        <v>0</v>
      </c>
      <c r="N8" s="54">
        <v>108009.66</v>
      </c>
      <c r="O8" s="1">
        <v>189</v>
      </c>
      <c r="P8" s="1">
        <v>45</v>
      </c>
      <c r="Q8" s="1">
        <v>15</v>
      </c>
      <c r="R8" s="1">
        <v>51</v>
      </c>
      <c r="S8" s="1">
        <v>45</v>
      </c>
      <c r="T8" s="1">
        <v>0</v>
      </c>
      <c r="U8" s="1">
        <v>0</v>
      </c>
      <c r="V8" s="1">
        <v>0</v>
      </c>
      <c r="W8" s="1">
        <v>0</v>
      </c>
      <c r="X8" s="1">
        <v>0</v>
      </c>
      <c r="Y8" s="1">
        <v>0</v>
      </c>
      <c r="Z8" s="1">
        <v>0</v>
      </c>
      <c r="AA8" s="54">
        <v>132699.21</v>
      </c>
      <c r="AB8" s="1">
        <v>36.74074074</v>
      </c>
      <c r="AC8" s="1">
        <v>0</v>
      </c>
      <c r="AD8" s="54">
        <v>25723.29</v>
      </c>
      <c r="AE8" s="1">
        <v>76.550688030000003</v>
      </c>
      <c r="AF8" s="1">
        <v>0</v>
      </c>
      <c r="AG8" s="54">
        <v>106282.21</v>
      </c>
      <c r="AH8" s="1">
        <v>0</v>
      </c>
      <c r="AI8" s="1">
        <v>0</v>
      </c>
      <c r="AJ8" s="54">
        <v>0</v>
      </c>
      <c r="AK8" s="54">
        <v>159487.1</v>
      </c>
      <c r="AL8" s="54">
        <v>26447</v>
      </c>
      <c r="AM8" s="54">
        <v>2349233.5699999998</v>
      </c>
      <c r="AN8" s="54">
        <v>72601.19</v>
      </c>
      <c r="AO8" s="54">
        <v>23413</v>
      </c>
      <c r="AP8" s="54">
        <v>159487.1</v>
      </c>
      <c r="AQ8" s="54">
        <v>2238934.66</v>
      </c>
      <c r="AR8" s="54">
        <v>373</v>
      </c>
      <c r="AS8" s="54">
        <v>6002.5057909999996</v>
      </c>
      <c r="AT8" s="54">
        <v>6032.5183200000001</v>
      </c>
      <c r="AU8" s="54">
        <v>2316487.0350000001</v>
      </c>
      <c r="AV8" s="54">
        <v>26447</v>
      </c>
      <c r="AW8" s="54">
        <v>159487.1</v>
      </c>
      <c r="AX8" s="54">
        <v>2502421.13</v>
      </c>
      <c r="AY8" s="54">
        <v>55034.76</v>
      </c>
      <c r="AZ8" s="54">
        <v>2502421.13</v>
      </c>
      <c r="BA8" s="54">
        <v>4615.68</v>
      </c>
      <c r="BB8" s="28">
        <v>3159.7</v>
      </c>
      <c r="BC8" s="54">
        <v>1297.92</v>
      </c>
      <c r="BD8" s="54">
        <v>1159.68</v>
      </c>
      <c r="BE8" s="54">
        <v>3379.2</v>
      </c>
      <c r="BF8" s="54">
        <v>10022.4</v>
      </c>
      <c r="BG8" s="54">
        <v>23634.58</v>
      </c>
      <c r="BH8" s="55">
        <v>373</v>
      </c>
      <c r="BI8" s="55">
        <v>1722141</v>
      </c>
      <c r="BJ8" s="55">
        <v>0</v>
      </c>
      <c r="BK8" s="55">
        <v>0</v>
      </c>
      <c r="BL8" s="55">
        <v>65057.52</v>
      </c>
      <c r="BM8" s="55">
        <v>98068.23</v>
      </c>
      <c r="BN8" s="55">
        <v>53869.65</v>
      </c>
      <c r="BO8" s="55">
        <v>12983.1</v>
      </c>
      <c r="BP8" s="55">
        <v>7846.8</v>
      </c>
      <c r="BQ8" s="55">
        <v>26821.96</v>
      </c>
      <c r="BR8" s="55">
        <v>25466.7</v>
      </c>
      <c r="BS8" s="55">
        <v>0</v>
      </c>
      <c r="BT8" s="55">
        <v>22810.639999999999</v>
      </c>
      <c r="BU8" s="55">
        <v>104196.31</v>
      </c>
      <c r="BV8" s="55">
        <v>4067.18</v>
      </c>
      <c r="BW8" s="55">
        <v>152181.76000000001</v>
      </c>
      <c r="BX8" s="55">
        <v>23413</v>
      </c>
      <c r="BY8" s="55">
        <v>30309.72</v>
      </c>
      <c r="BZ8" s="55">
        <v>2349233.5699999998</v>
      </c>
      <c r="CA8" s="54">
        <v>52772.04</v>
      </c>
      <c r="CB8" s="54">
        <v>0</v>
      </c>
      <c r="CC8" s="54">
        <v>0</v>
      </c>
      <c r="CD8" s="54">
        <v>14096.1</v>
      </c>
      <c r="CE8" s="54">
        <v>5362.01</v>
      </c>
      <c r="CF8" s="28">
        <v>0</v>
      </c>
      <c r="CG8" s="54">
        <v>21766</v>
      </c>
      <c r="CH8" s="54">
        <v>8773</v>
      </c>
      <c r="CI8" s="54">
        <v>8008</v>
      </c>
      <c r="CJ8" s="54">
        <v>0</v>
      </c>
      <c r="CK8" s="54"/>
      <c r="CL8" s="54"/>
      <c r="CM8" s="54"/>
      <c r="CN8" s="54"/>
      <c r="CO8" s="54"/>
      <c r="CP8" s="54"/>
      <c r="CQ8" s="54"/>
      <c r="CR8" s="54"/>
    </row>
    <row r="9" spans="1:96">
      <c r="A9" s="1">
        <v>2042388</v>
      </c>
      <c r="B9" s="1" t="s">
        <v>328</v>
      </c>
      <c r="C9" s="1" t="s">
        <v>322</v>
      </c>
      <c r="D9" s="1" t="s">
        <v>14</v>
      </c>
      <c r="E9" s="1">
        <v>401</v>
      </c>
      <c r="F9" s="1">
        <v>0</v>
      </c>
      <c r="G9" s="1">
        <v>0</v>
      </c>
      <c r="H9" s="54">
        <v>1904954.51</v>
      </c>
      <c r="I9" s="1">
        <v>117</v>
      </c>
      <c r="J9" s="1">
        <v>0</v>
      </c>
      <c r="K9" s="54">
        <v>68030.820000000007</v>
      </c>
      <c r="L9" s="1">
        <v>117</v>
      </c>
      <c r="M9" s="1">
        <v>0</v>
      </c>
      <c r="N9" s="54">
        <v>113848.02</v>
      </c>
      <c r="O9" s="1">
        <v>54</v>
      </c>
      <c r="P9" s="1">
        <v>96</v>
      </c>
      <c r="Q9" s="1">
        <v>93</v>
      </c>
      <c r="R9" s="1">
        <v>24</v>
      </c>
      <c r="S9" s="1">
        <v>88</v>
      </c>
      <c r="T9" s="1">
        <v>1</v>
      </c>
      <c r="U9" s="1">
        <v>0</v>
      </c>
      <c r="V9" s="1">
        <v>0</v>
      </c>
      <c r="W9" s="1">
        <v>0</v>
      </c>
      <c r="X9" s="1">
        <v>0</v>
      </c>
      <c r="Y9" s="1">
        <v>0</v>
      </c>
      <c r="Z9" s="1">
        <v>0</v>
      </c>
      <c r="AA9" s="54">
        <v>165034.85</v>
      </c>
      <c r="AB9" s="1">
        <v>114.9064327</v>
      </c>
      <c r="AC9" s="1">
        <v>0</v>
      </c>
      <c r="AD9" s="54">
        <v>80449.440000000002</v>
      </c>
      <c r="AE9" s="1">
        <v>100.6462154</v>
      </c>
      <c r="AF9" s="1">
        <v>0</v>
      </c>
      <c r="AG9" s="54">
        <v>139736.20000000001</v>
      </c>
      <c r="AH9" s="1">
        <v>1.94</v>
      </c>
      <c r="AI9" s="1">
        <v>0</v>
      </c>
      <c r="AJ9" s="54">
        <v>2210.0300000000002</v>
      </c>
      <c r="AK9" s="54">
        <v>159487.1</v>
      </c>
      <c r="AL9" s="54">
        <v>45568</v>
      </c>
      <c r="AM9" s="54">
        <v>2604661.06</v>
      </c>
      <c r="AN9" s="54">
        <v>76421.179999999993</v>
      </c>
      <c r="AO9" s="54">
        <v>34468</v>
      </c>
      <c r="AP9" s="54">
        <v>159487.1</v>
      </c>
      <c r="AQ9" s="54">
        <v>2487127.14</v>
      </c>
      <c r="AR9" s="54">
        <v>400</v>
      </c>
      <c r="AS9" s="54">
        <v>6217.8178500000004</v>
      </c>
      <c r="AT9" s="54">
        <v>6248.9069390000004</v>
      </c>
      <c r="AU9" s="54">
        <v>2505811.6830000002</v>
      </c>
      <c r="AV9" s="54">
        <v>45568</v>
      </c>
      <c r="AW9" s="54">
        <v>159487.1</v>
      </c>
      <c r="AX9" s="54">
        <v>2710866.78</v>
      </c>
      <c r="AY9" s="54">
        <v>31547.81</v>
      </c>
      <c r="AZ9" s="54">
        <v>2710866.78</v>
      </c>
      <c r="BA9" s="54">
        <v>4820.0200000000004</v>
      </c>
      <c r="BB9" s="28">
        <v>9881.9500000000007</v>
      </c>
      <c r="BC9" s="54">
        <v>1355.38</v>
      </c>
      <c r="BD9" s="54">
        <v>1211.02</v>
      </c>
      <c r="BE9" s="54">
        <v>3528.8</v>
      </c>
      <c r="BF9" s="54">
        <v>10466.1</v>
      </c>
      <c r="BG9" s="54">
        <v>31263.270000000004</v>
      </c>
      <c r="BH9" s="55">
        <v>400</v>
      </c>
      <c r="BI9" s="55">
        <v>1846800</v>
      </c>
      <c r="BJ9" s="55">
        <v>0</v>
      </c>
      <c r="BK9" s="55">
        <v>0</v>
      </c>
      <c r="BL9" s="55">
        <v>66769.56</v>
      </c>
      <c r="BM9" s="55">
        <v>98068.23</v>
      </c>
      <c r="BN9" s="55">
        <v>16133.55</v>
      </c>
      <c r="BO9" s="55">
        <v>33955.800000000003</v>
      </c>
      <c r="BP9" s="55">
        <v>43418.96</v>
      </c>
      <c r="BQ9" s="55">
        <v>14837.68</v>
      </c>
      <c r="BR9" s="55">
        <v>53358.8</v>
      </c>
      <c r="BS9" s="55">
        <v>796.58</v>
      </c>
      <c r="BT9" s="55">
        <v>77425.399999999994</v>
      </c>
      <c r="BU9" s="55">
        <v>135665.54</v>
      </c>
      <c r="BV9" s="55">
        <v>1123.53</v>
      </c>
      <c r="BW9" s="55">
        <v>152181.76000000001</v>
      </c>
      <c r="BX9" s="55">
        <v>34468</v>
      </c>
      <c r="BY9" s="55">
        <v>29657.66</v>
      </c>
      <c r="BZ9" s="55">
        <v>2604661.06</v>
      </c>
      <c r="CA9" s="54">
        <v>56592</v>
      </c>
      <c r="CB9" s="54">
        <v>0</v>
      </c>
      <c r="CC9" s="54">
        <v>0</v>
      </c>
      <c r="CD9" s="54">
        <v>14096.1</v>
      </c>
      <c r="CE9" s="54">
        <v>5362.01</v>
      </c>
      <c r="CF9" s="28">
        <v>0</v>
      </c>
      <c r="CG9" s="54">
        <v>22921</v>
      </c>
      <c r="CH9" s="54">
        <v>8483</v>
      </c>
      <c r="CI9" s="54">
        <v>8092</v>
      </c>
      <c r="CJ9" s="54">
        <v>0</v>
      </c>
      <c r="CK9" s="54"/>
      <c r="CL9" s="54"/>
      <c r="CM9" s="54"/>
      <c r="CN9" s="54"/>
      <c r="CO9" s="54"/>
      <c r="CP9" s="54"/>
      <c r="CQ9" s="54"/>
      <c r="CR9" s="54"/>
    </row>
    <row r="10" spans="1:96">
      <c r="A10" s="1">
        <v>2042421</v>
      </c>
      <c r="B10" s="1" t="s">
        <v>329</v>
      </c>
      <c r="C10" s="1" t="s">
        <v>322</v>
      </c>
      <c r="D10" s="1" t="s">
        <v>14</v>
      </c>
      <c r="E10" s="1">
        <v>603</v>
      </c>
      <c r="F10" s="1">
        <v>0</v>
      </c>
      <c r="G10" s="1">
        <v>0</v>
      </c>
      <c r="H10" s="54">
        <v>2864557.53</v>
      </c>
      <c r="I10" s="1">
        <v>137</v>
      </c>
      <c r="J10" s="1">
        <v>0</v>
      </c>
      <c r="K10" s="54">
        <v>79660.02</v>
      </c>
      <c r="L10" s="1">
        <v>137</v>
      </c>
      <c r="M10" s="1">
        <v>0</v>
      </c>
      <c r="N10" s="54">
        <v>133309.22</v>
      </c>
      <c r="O10" s="1">
        <v>75</v>
      </c>
      <c r="P10" s="1">
        <v>143</v>
      </c>
      <c r="Q10" s="1">
        <v>94</v>
      </c>
      <c r="R10" s="1">
        <v>79</v>
      </c>
      <c r="S10" s="1">
        <v>24</v>
      </c>
      <c r="T10" s="1">
        <v>2</v>
      </c>
      <c r="U10" s="1">
        <v>0</v>
      </c>
      <c r="V10" s="1">
        <v>0</v>
      </c>
      <c r="W10" s="1">
        <v>0</v>
      </c>
      <c r="X10" s="1">
        <v>0</v>
      </c>
      <c r="Y10" s="1">
        <v>0</v>
      </c>
      <c r="Z10" s="1">
        <v>0</v>
      </c>
      <c r="AA10" s="54">
        <v>180663.34</v>
      </c>
      <c r="AB10" s="1">
        <v>123.1809339</v>
      </c>
      <c r="AC10" s="1">
        <v>0</v>
      </c>
      <c r="AD10" s="54">
        <v>86242.67</v>
      </c>
      <c r="AE10" s="1">
        <v>141.02449709999999</v>
      </c>
      <c r="AF10" s="1">
        <v>0</v>
      </c>
      <c r="AG10" s="54">
        <v>195797</v>
      </c>
      <c r="AH10" s="1">
        <v>0</v>
      </c>
      <c r="AI10" s="1">
        <v>0</v>
      </c>
      <c r="AJ10" s="54">
        <v>0</v>
      </c>
      <c r="AK10" s="54">
        <v>159487.1</v>
      </c>
      <c r="AL10" s="54">
        <v>64372</v>
      </c>
      <c r="AM10" s="54">
        <v>3852695.01</v>
      </c>
      <c r="AN10" s="54">
        <v>108852.45</v>
      </c>
      <c r="AO10" s="54">
        <v>47481</v>
      </c>
      <c r="AP10" s="54">
        <v>159487.1</v>
      </c>
      <c r="AQ10" s="54">
        <v>3754579.36</v>
      </c>
      <c r="AR10" s="54">
        <v>610</v>
      </c>
      <c r="AS10" s="54">
        <v>6155.0481309999996</v>
      </c>
      <c r="AT10" s="54">
        <v>6185.8233719999998</v>
      </c>
      <c r="AU10" s="54">
        <v>3730051.4929999998</v>
      </c>
      <c r="AV10" s="54">
        <v>64372</v>
      </c>
      <c r="AW10" s="54">
        <v>159487.1</v>
      </c>
      <c r="AX10" s="54">
        <v>3953910.59</v>
      </c>
      <c r="AY10" s="54">
        <v>189821.71</v>
      </c>
      <c r="AZ10" s="54">
        <v>3953910.59</v>
      </c>
      <c r="BA10" s="54">
        <v>7248.06</v>
      </c>
      <c r="BB10" s="28">
        <v>10593.56</v>
      </c>
      <c r="BC10" s="54">
        <v>2038.14</v>
      </c>
      <c r="BD10" s="54">
        <v>1821.06</v>
      </c>
      <c r="BE10" s="54">
        <v>5306.4</v>
      </c>
      <c r="BF10" s="54">
        <v>15738.3</v>
      </c>
      <c r="BG10" s="54">
        <v>42745.520000000004</v>
      </c>
      <c r="BH10" s="55">
        <v>610</v>
      </c>
      <c r="BI10" s="55">
        <v>2816370</v>
      </c>
      <c r="BJ10" s="55">
        <v>0</v>
      </c>
      <c r="BK10" s="55">
        <v>0</v>
      </c>
      <c r="BL10" s="55">
        <v>78183.16</v>
      </c>
      <c r="BM10" s="55">
        <v>116508.41</v>
      </c>
      <c r="BN10" s="55">
        <v>20508.75</v>
      </c>
      <c r="BO10" s="55">
        <v>46273.1</v>
      </c>
      <c r="BP10" s="55">
        <v>42372.72</v>
      </c>
      <c r="BQ10" s="55">
        <v>55355.96</v>
      </c>
      <c r="BR10" s="55">
        <v>13946.05</v>
      </c>
      <c r="BS10" s="55">
        <v>4779.4799999999996</v>
      </c>
      <c r="BT10" s="55">
        <v>35592.42</v>
      </c>
      <c r="BU10" s="55">
        <v>186943.03</v>
      </c>
      <c r="BV10" s="55">
        <v>0</v>
      </c>
      <c r="BW10" s="55">
        <v>152181.76000000001</v>
      </c>
      <c r="BX10" s="55">
        <v>47481</v>
      </c>
      <c r="BY10" s="55">
        <v>236199.17</v>
      </c>
      <c r="BZ10" s="55">
        <v>3852695.01</v>
      </c>
      <c r="CA10" s="54">
        <v>86302.8</v>
      </c>
      <c r="CB10" s="54">
        <v>0</v>
      </c>
      <c r="CC10" s="54">
        <v>0</v>
      </c>
      <c r="CD10" s="54">
        <v>17187.349999999999</v>
      </c>
      <c r="CE10" s="54">
        <v>5362.01</v>
      </c>
      <c r="CF10" s="28">
        <v>12</v>
      </c>
      <c r="CG10" s="54">
        <v>32831</v>
      </c>
      <c r="CH10" s="54">
        <v>11861.75</v>
      </c>
      <c r="CI10" s="54">
        <v>8829</v>
      </c>
      <c r="CJ10" s="54">
        <v>15080</v>
      </c>
      <c r="CK10" s="54"/>
      <c r="CL10" s="54"/>
      <c r="CM10" s="54"/>
      <c r="CN10" s="54"/>
      <c r="CO10" s="54"/>
      <c r="CP10" s="54"/>
      <c r="CQ10" s="54"/>
      <c r="CR10" s="54"/>
    </row>
    <row r="11" spans="1:96">
      <c r="A11" s="1">
        <v>2042431</v>
      </c>
      <c r="B11" s="1" t="s">
        <v>330</v>
      </c>
      <c r="C11" s="1" t="s">
        <v>322</v>
      </c>
      <c r="D11" s="1" t="s">
        <v>14</v>
      </c>
      <c r="E11" s="1">
        <v>380</v>
      </c>
      <c r="F11" s="1">
        <v>0</v>
      </c>
      <c r="G11" s="1">
        <v>0</v>
      </c>
      <c r="H11" s="54">
        <v>1805193.8</v>
      </c>
      <c r="I11" s="1">
        <v>205</v>
      </c>
      <c r="J11" s="1">
        <v>0</v>
      </c>
      <c r="K11" s="54">
        <v>119199.3</v>
      </c>
      <c r="L11" s="1">
        <v>208</v>
      </c>
      <c r="M11" s="1">
        <v>0</v>
      </c>
      <c r="N11" s="54">
        <v>202396.48</v>
      </c>
      <c r="O11" s="1">
        <v>37</v>
      </c>
      <c r="P11" s="1">
        <v>86</v>
      </c>
      <c r="Q11" s="1">
        <v>35</v>
      </c>
      <c r="R11" s="1">
        <v>65</v>
      </c>
      <c r="S11" s="1">
        <v>146</v>
      </c>
      <c r="T11" s="1">
        <v>4</v>
      </c>
      <c r="U11" s="1">
        <v>0</v>
      </c>
      <c r="V11" s="1">
        <v>0</v>
      </c>
      <c r="W11" s="1">
        <v>0</v>
      </c>
      <c r="X11" s="1">
        <v>0</v>
      </c>
      <c r="Y11" s="1">
        <v>0</v>
      </c>
      <c r="Z11" s="1">
        <v>0</v>
      </c>
      <c r="AA11" s="54">
        <v>187747.64</v>
      </c>
      <c r="AB11" s="1">
        <v>116.56441719999999</v>
      </c>
      <c r="AC11" s="1">
        <v>0</v>
      </c>
      <c r="AD11" s="54">
        <v>81610.25</v>
      </c>
      <c r="AE11" s="1">
        <v>115.3515931</v>
      </c>
      <c r="AF11" s="1">
        <v>0</v>
      </c>
      <c r="AG11" s="54">
        <v>160153</v>
      </c>
      <c r="AH11" s="1">
        <v>0</v>
      </c>
      <c r="AI11" s="1">
        <v>0</v>
      </c>
      <c r="AJ11" s="54">
        <v>0</v>
      </c>
      <c r="AK11" s="54">
        <v>159487.1</v>
      </c>
      <c r="AL11" s="54">
        <v>52224</v>
      </c>
      <c r="AM11" s="54">
        <v>2680380.5499999998</v>
      </c>
      <c r="AN11" s="54">
        <v>85020.62</v>
      </c>
      <c r="AO11" s="54">
        <v>33684</v>
      </c>
      <c r="AP11" s="54">
        <v>159487.1</v>
      </c>
      <c r="AQ11" s="54">
        <v>2572230.0699999998</v>
      </c>
      <c r="AR11" s="54">
        <v>383</v>
      </c>
      <c r="AS11" s="54">
        <v>6716.0054049999999</v>
      </c>
      <c r="AT11" s="54">
        <v>6749.5854319999999</v>
      </c>
      <c r="AU11" s="54">
        <v>2564842.4640000002</v>
      </c>
      <c r="AV11" s="54">
        <v>52224</v>
      </c>
      <c r="AW11" s="54">
        <v>159487.1</v>
      </c>
      <c r="AX11" s="54">
        <v>2776553.56</v>
      </c>
      <c r="AY11" s="54">
        <v>8542</v>
      </c>
      <c r="AZ11" s="54">
        <v>2776553.56</v>
      </c>
      <c r="BA11" s="54">
        <v>4567.6000000000004</v>
      </c>
      <c r="BB11" s="28">
        <v>10024.540000000001</v>
      </c>
      <c r="BC11" s="54">
        <v>1284.4000000000001</v>
      </c>
      <c r="BD11" s="54">
        <v>1147.5999999999999</v>
      </c>
      <c r="BE11" s="54">
        <v>3344</v>
      </c>
      <c r="BF11" s="54">
        <v>9918</v>
      </c>
      <c r="BG11" s="54">
        <v>30286.14</v>
      </c>
      <c r="BH11" s="55">
        <v>383</v>
      </c>
      <c r="BI11" s="55">
        <v>1768311</v>
      </c>
      <c r="BJ11" s="55">
        <v>0</v>
      </c>
      <c r="BK11" s="55">
        <v>0</v>
      </c>
      <c r="BL11" s="55">
        <v>116989.4</v>
      </c>
      <c r="BM11" s="55">
        <v>172667.14</v>
      </c>
      <c r="BN11" s="55">
        <v>9595.7999999999993</v>
      </c>
      <c r="BO11" s="55">
        <v>25700.400000000001</v>
      </c>
      <c r="BP11" s="55">
        <v>19406.11</v>
      </c>
      <c r="BQ11" s="55">
        <v>38335.65</v>
      </c>
      <c r="BR11" s="55">
        <v>93622.34</v>
      </c>
      <c r="BS11" s="55">
        <v>3194.66</v>
      </c>
      <c r="BT11" s="55">
        <v>82981.73</v>
      </c>
      <c r="BU11" s="55">
        <v>150646.98000000001</v>
      </c>
      <c r="BV11" s="55">
        <v>22.47</v>
      </c>
      <c r="BW11" s="55">
        <v>152181.76000000001</v>
      </c>
      <c r="BX11" s="55">
        <v>33684</v>
      </c>
      <c r="BY11" s="55">
        <v>13041.09</v>
      </c>
      <c r="BZ11" s="55">
        <v>2680380.5499999998</v>
      </c>
      <c r="CA11" s="54">
        <v>54186.84</v>
      </c>
      <c r="CB11" s="54">
        <v>0</v>
      </c>
      <c r="CC11" s="54">
        <v>0</v>
      </c>
      <c r="CD11" s="54">
        <v>25595.55</v>
      </c>
      <c r="CE11" s="54">
        <v>5362.01</v>
      </c>
      <c r="CF11" s="28">
        <v>0</v>
      </c>
      <c r="CG11" s="54">
        <v>25622</v>
      </c>
      <c r="CH11" s="54">
        <v>15007.75</v>
      </c>
      <c r="CI11" s="54">
        <v>8033</v>
      </c>
      <c r="CJ11" s="54">
        <v>0</v>
      </c>
      <c r="CK11" s="54"/>
      <c r="CL11" s="54"/>
      <c r="CM11" s="54"/>
      <c r="CN11" s="54"/>
      <c r="CO11" s="54"/>
      <c r="CP11" s="54"/>
      <c r="CQ11" s="54"/>
      <c r="CR11" s="54"/>
    </row>
    <row r="12" spans="1:96">
      <c r="A12" s="1">
        <v>2042450</v>
      </c>
      <c r="B12" s="1" t="s">
        <v>331</v>
      </c>
      <c r="C12" s="1" t="s">
        <v>322</v>
      </c>
      <c r="D12" s="1" t="s">
        <v>14</v>
      </c>
      <c r="E12" s="1">
        <v>548</v>
      </c>
      <c r="F12" s="1">
        <v>0</v>
      </c>
      <c r="G12" s="1">
        <v>0</v>
      </c>
      <c r="H12" s="54">
        <v>2603279.48</v>
      </c>
      <c r="I12" s="1">
        <v>293</v>
      </c>
      <c r="J12" s="1">
        <v>0</v>
      </c>
      <c r="K12" s="54">
        <v>170367.78</v>
      </c>
      <c r="L12" s="1">
        <v>300</v>
      </c>
      <c r="M12" s="1">
        <v>0</v>
      </c>
      <c r="N12" s="54">
        <v>291918</v>
      </c>
      <c r="O12" s="1">
        <v>110.2010969</v>
      </c>
      <c r="P12" s="1">
        <v>113.2065814</v>
      </c>
      <c r="Q12" s="1">
        <v>33.060329070000002</v>
      </c>
      <c r="R12" s="1">
        <v>63.115173669999997</v>
      </c>
      <c r="S12" s="1">
        <v>220.40219379999999</v>
      </c>
      <c r="T12" s="1">
        <v>0</v>
      </c>
      <c r="U12" s="1">
        <v>0</v>
      </c>
      <c r="V12" s="1">
        <v>0</v>
      </c>
      <c r="W12" s="1">
        <v>0</v>
      </c>
      <c r="X12" s="1">
        <v>0</v>
      </c>
      <c r="Y12" s="1">
        <v>0</v>
      </c>
      <c r="Z12" s="1">
        <v>0</v>
      </c>
      <c r="AA12" s="54">
        <v>257495.15</v>
      </c>
      <c r="AB12" s="1">
        <v>148.32231400000001</v>
      </c>
      <c r="AC12" s="1">
        <v>0</v>
      </c>
      <c r="AD12" s="54">
        <v>103844.9</v>
      </c>
      <c r="AE12" s="1">
        <v>140.80170279999999</v>
      </c>
      <c r="AF12" s="1">
        <v>0</v>
      </c>
      <c r="AG12" s="54">
        <v>195487.68</v>
      </c>
      <c r="AH12" s="1">
        <v>0</v>
      </c>
      <c r="AI12" s="1">
        <v>0</v>
      </c>
      <c r="AJ12" s="54">
        <v>0</v>
      </c>
      <c r="AK12" s="54">
        <v>159487.1</v>
      </c>
      <c r="AL12" s="54">
        <v>42496</v>
      </c>
      <c r="AM12" s="54">
        <v>3929385.64</v>
      </c>
      <c r="AN12" s="54">
        <v>127378.15</v>
      </c>
      <c r="AO12" s="54">
        <v>31073</v>
      </c>
      <c r="AP12" s="54">
        <v>159487.1</v>
      </c>
      <c r="AQ12" s="54">
        <v>3866203.69</v>
      </c>
      <c r="AR12" s="54">
        <v>588</v>
      </c>
      <c r="AS12" s="54">
        <v>6575.1763440000004</v>
      </c>
      <c r="AT12" s="54">
        <v>6608.0522250000004</v>
      </c>
      <c r="AU12" s="54">
        <v>3621212.6189999999</v>
      </c>
      <c r="AV12" s="54">
        <v>42496</v>
      </c>
      <c r="AW12" s="54">
        <v>159487.1</v>
      </c>
      <c r="AX12" s="54">
        <v>3823195.72</v>
      </c>
      <c r="AY12" s="54">
        <v>0</v>
      </c>
      <c r="AZ12" s="54">
        <v>3824376.09</v>
      </c>
      <c r="BA12" s="54">
        <v>6586.96</v>
      </c>
      <c r="BB12" s="28">
        <v>12755.72</v>
      </c>
      <c r="BC12" s="54">
        <v>1852.24</v>
      </c>
      <c r="BD12" s="54">
        <v>1654.96</v>
      </c>
      <c r="BE12" s="54">
        <v>4822.3999999999996</v>
      </c>
      <c r="BF12" s="54">
        <v>14302.8</v>
      </c>
      <c r="BG12" s="54">
        <v>41975.08</v>
      </c>
      <c r="BH12" s="55">
        <v>588</v>
      </c>
      <c r="BI12" s="55">
        <v>2714796</v>
      </c>
      <c r="BJ12" s="55">
        <v>0</v>
      </c>
      <c r="BK12" s="55">
        <v>0</v>
      </c>
      <c r="BL12" s="55">
        <v>176340.12</v>
      </c>
      <c r="BM12" s="55">
        <v>263191.65999999997</v>
      </c>
      <c r="BN12" s="55">
        <v>27939.42</v>
      </c>
      <c r="BO12" s="55">
        <v>40016.050000000003</v>
      </c>
      <c r="BP12" s="55">
        <v>19912.419999999998</v>
      </c>
      <c r="BQ12" s="55">
        <v>36014.089999999997</v>
      </c>
      <c r="BR12" s="55">
        <v>156704.79999999999</v>
      </c>
      <c r="BS12" s="55">
        <v>0</v>
      </c>
      <c r="BT12" s="55">
        <v>102366.46</v>
      </c>
      <c r="BU12" s="55">
        <v>200176.2</v>
      </c>
      <c r="BV12" s="55">
        <v>8673.65</v>
      </c>
      <c r="BW12" s="55">
        <v>152181.76000000001</v>
      </c>
      <c r="BX12" s="55">
        <v>31073</v>
      </c>
      <c r="BY12" s="55">
        <v>0</v>
      </c>
      <c r="BZ12" s="55">
        <v>3929385.64</v>
      </c>
      <c r="CA12" s="54">
        <v>83190.240000000005</v>
      </c>
      <c r="CB12" s="54">
        <v>0</v>
      </c>
      <c r="CC12" s="54">
        <v>0</v>
      </c>
      <c r="CD12" s="54">
        <v>38702.449999999997</v>
      </c>
      <c r="CE12" s="54">
        <v>5362.01</v>
      </c>
      <c r="CF12" s="28">
        <v>0</v>
      </c>
      <c r="CG12" s="54">
        <v>38303</v>
      </c>
      <c r="CH12" s="54">
        <v>22765.25</v>
      </c>
      <c r="CI12" s="54">
        <v>8771</v>
      </c>
      <c r="CJ12" s="54">
        <v>0</v>
      </c>
      <c r="CK12" s="54"/>
      <c r="CL12" s="54"/>
      <c r="CM12" s="54"/>
      <c r="CN12" s="54"/>
      <c r="CO12" s="54"/>
      <c r="CP12" s="54"/>
      <c r="CQ12" s="54"/>
      <c r="CR12" s="54"/>
    </row>
    <row r="13" spans="1:96">
      <c r="A13" s="1">
        <v>2042487</v>
      </c>
      <c r="B13" s="1" t="s">
        <v>332</v>
      </c>
      <c r="C13" s="1" t="s">
        <v>322</v>
      </c>
      <c r="D13" s="1" t="s">
        <v>14</v>
      </c>
      <c r="E13" s="1">
        <v>394</v>
      </c>
      <c r="F13" s="1">
        <v>0</v>
      </c>
      <c r="G13" s="1">
        <v>0</v>
      </c>
      <c r="H13" s="54">
        <v>1871700.94</v>
      </c>
      <c r="I13" s="1">
        <v>150</v>
      </c>
      <c r="J13" s="1">
        <v>0</v>
      </c>
      <c r="K13" s="54">
        <v>87219</v>
      </c>
      <c r="L13" s="1">
        <v>150</v>
      </c>
      <c r="M13" s="1">
        <v>0</v>
      </c>
      <c r="N13" s="54">
        <v>145959</v>
      </c>
      <c r="O13" s="1">
        <v>57.145038169999999</v>
      </c>
      <c r="P13" s="1">
        <v>71.180661580000006</v>
      </c>
      <c r="Q13" s="1">
        <v>62.157760809999999</v>
      </c>
      <c r="R13" s="1">
        <v>34.08651399</v>
      </c>
      <c r="S13" s="1">
        <v>141.35877859999999</v>
      </c>
      <c r="T13" s="1">
        <v>14.035623409999999</v>
      </c>
      <c r="U13" s="1">
        <v>0</v>
      </c>
      <c r="V13" s="1">
        <v>0</v>
      </c>
      <c r="W13" s="1">
        <v>0</v>
      </c>
      <c r="X13" s="1">
        <v>0</v>
      </c>
      <c r="Y13" s="1">
        <v>0</v>
      </c>
      <c r="Z13" s="1">
        <v>0</v>
      </c>
      <c r="AA13" s="54">
        <v>190164.53</v>
      </c>
      <c r="AB13" s="1">
        <v>98.790560470000003</v>
      </c>
      <c r="AC13" s="1">
        <v>0</v>
      </c>
      <c r="AD13" s="54">
        <v>69166.240000000005</v>
      </c>
      <c r="AE13" s="1">
        <v>107.5489458</v>
      </c>
      <c r="AF13" s="1">
        <v>0</v>
      </c>
      <c r="AG13" s="54">
        <v>149319.88</v>
      </c>
      <c r="AH13" s="1">
        <v>0</v>
      </c>
      <c r="AI13" s="1">
        <v>0</v>
      </c>
      <c r="AJ13" s="54">
        <v>0</v>
      </c>
      <c r="AK13" s="54">
        <v>159487.1</v>
      </c>
      <c r="AL13" s="54">
        <v>55328</v>
      </c>
      <c r="AM13" s="54">
        <v>2593316.75</v>
      </c>
      <c r="AN13" s="54">
        <v>77743.259999999995</v>
      </c>
      <c r="AO13" s="54">
        <v>43474</v>
      </c>
      <c r="AP13" s="54">
        <v>159487.1</v>
      </c>
      <c r="AQ13" s="54">
        <v>2468098.91</v>
      </c>
      <c r="AR13" s="54">
        <v>384</v>
      </c>
      <c r="AS13" s="54">
        <v>6427.3409110000002</v>
      </c>
      <c r="AT13" s="54">
        <v>6459.4776160000001</v>
      </c>
      <c r="AU13" s="54">
        <v>2545034.1809999999</v>
      </c>
      <c r="AV13" s="54">
        <v>55328</v>
      </c>
      <c r="AW13" s="54">
        <v>159487.1</v>
      </c>
      <c r="AX13" s="54">
        <v>2759849.28</v>
      </c>
      <c r="AY13" s="54">
        <v>31504.59</v>
      </c>
      <c r="AZ13" s="54">
        <v>2759849.28</v>
      </c>
      <c r="BA13" s="54">
        <v>4735.88</v>
      </c>
      <c r="BB13" s="28">
        <v>8495.99</v>
      </c>
      <c r="BC13" s="54">
        <v>1331.72</v>
      </c>
      <c r="BD13" s="54">
        <v>1189.8800000000001</v>
      </c>
      <c r="BE13" s="54">
        <v>3467.2</v>
      </c>
      <c r="BF13" s="54">
        <v>10283.4</v>
      </c>
      <c r="BG13" s="54">
        <v>29504.07</v>
      </c>
      <c r="BH13" s="55">
        <v>384</v>
      </c>
      <c r="BI13" s="55">
        <v>1772928</v>
      </c>
      <c r="BJ13" s="55">
        <v>0</v>
      </c>
      <c r="BK13" s="55">
        <v>0</v>
      </c>
      <c r="BL13" s="55">
        <v>81036.56</v>
      </c>
      <c r="BM13" s="55">
        <v>122375.74</v>
      </c>
      <c r="BN13" s="55">
        <v>13945.95</v>
      </c>
      <c r="BO13" s="55">
        <v>23635.9</v>
      </c>
      <c r="BP13" s="55">
        <v>33479.68</v>
      </c>
      <c r="BQ13" s="55">
        <v>21685.84</v>
      </c>
      <c r="BR13" s="55">
        <v>82463.600000000006</v>
      </c>
      <c r="BS13" s="55">
        <v>7965.8</v>
      </c>
      <c r="BT13" s="55">
        <v>79757.490000000005</v>
      </c>
      <c r="BU13" s="55">
        <v>147257.07</v>
      </c>
      <c r="BV13" s="55">
        <v>0</v>
      </c>
      <c r="BW13" s="55">
        <v>152181.76000000001</v>
      </c>
      <c r="BX13" s="55">
        <v>43474</v>
      </c>
      <c r="BY13" s="55">
        <v>11129.36</v>
      </c>
      <c r="BZ13" s="55">
        <v>2593316.75</v>
      </c>
      <c r="CA13" s="54">
        <v>54328.32</v>
      </c>
      <c r="CB13" s="54">
        <v>0</v>
      </c>
      <c r="CC13" s="54">
        <v>0</v>
      </c>
      <c r="CD13" s="54">
        <v>18052.900000000001</v>
      </c>
      <c r="CE13" s="54">
        <v>5362.01</v>
      </c>
      <c r="CF13" s="28">
        <v>10</v>
      </c>
      <c r="CG13" s="54">
        <v>23416</v>
      </c>
      <c r="CH13" s="54">
        <v>11688.75</v>
      </c>
      <c r="CI13" s="54">
        <v>8067</v>
      </c>
      <c r="CJ13" s="54">
        <v>15080</v>
      </c>
      <c r="CK13" s="54"/>
      <c r="CL13" s="54"/>
      <c r="CM13" s="54"/>
      <c r="CN13" s="54"/>
      <c r="CO13" s="54"/>
      <c r="CP13" s="54"/>
      <c r="CQ13" s="54"/>
      <c r="CR13" s="54"/>
    </row>
    <row r="14" spans="1:96">
      <c r="A14" s="1">
        <v>2042489</v>
      </c>
      <c r="B14" s="1" t="s">
        <v>333</v>
      </c>
      <c r="C14" s="1" t="s">
        <v>322</v>
      </c>
      <c r="D14" s="1" t="s">
        <v>14</v>
      </c>
      <c r="E14" s="1">
        <v>128</v>
      </c>
      <c r="F14" s="1">
        <v>0</v>
      </c>
      <c r="G14" s="1">
        <v>0</v>
      </c>
      <c r="H14" s="54">
        <v>608065.28000000003</v>
      </c>
      <c r="I14" s="1">
        <v>71</v>
      </c>
      <c r="J14" s="1">
        <v>0</v>
      </c>
      <c r="K14" s="54">
        <v>41283.660000000003</v>
      </c>
      <c r="L14" s="1">
        <v>71</v>
      </c>
      <c r="M14" s="1">
        <v>0</v>
      </c>
      <c r="N14" s="54">
        <v>69087.259999999995</v>
      </c>
      <c r="O14" s="1">
        <v>2</v>
      </c>
      <c r="P14" s="1">
        <v>12</v>
      </c>
      <c r="Q14" s="1">
        <v>49</v>
      </c>
      <c r="R14" s="1">
        <v>7</v>
      </c>
      <c r="S14" s="1">
        <v>52</v>
      </c>
      <c r="T14" s="1">
        <v>4</v>
      </c>
      <c r="U14" s="1">
        <v>0</v>
      </c>
      <c r="V14" s="1">
        <v>0</v>
      </c>
      <c r="W14" s="1">
        <v>0</v>
      </c>
      <c r="X14" s="1">
        <v>0</v>
      </c>
      <c r="Y14" s="1">
        <v>0</v>
      </c>
      <c r="Z14" s="1">
        <v>0</v>
      </c>
      <c r="AA14" s="54">
        <v>69526.27</v>
      </c>
      <c r="AB14" s="1">
        <v>44.85470085</v>
      </c>
      <c r="AC14" s="1">
        <v>0</v>
      </c>
      <c r="AD14" s="54">
        <v>31404.12</v>
      </c>
      <c r="AE14" s="1">
        <v>39.343864250000003</v>
      </c>
      <c r="AF14" s="1">
        <v>0</v>
      </c>
      <c r="AG14" s="54">
        <v>54624.63</v>
      </c>
      <c r="AH14" s="1">
        <v>3.32</v>
      </c>
      <c r="AI14" s="1">
        <v>0</v>
      </c>
      <c r="AJ14" s="54">
        <v>3782.11</v>
      </c>
      <c r="AK14" s="54">
        <v>159487.1</v>
      </c>
      <c r="AL14" s="54">
        <v>39168</v>
      </c>
      <c r="AM14" s="54">
        <v>1755736.42</v>
      </c>
      <c r="AN14" s="54">
        <v>53678.400000000001</v>
      </c>
      <c r="AO14" s="54">
        <v>31334</v>
      </c>
      <c r="AP14" s="54">
        <v>159487.1</v>
      </c>
      <c r="AQ14" s="54">
        <v>1618593.72</v>
      </c>
      <c r="AR14" s="54">
        <v>241</v>
      </c>
      <c r="AS14" s="54">
        <v>6716.1565149999997</v>
      </c>
      <c r="AT14" s="54">
        <v>6749.7372969999997</v>
      </c>
      <c r="AU14" s="54">
        <v>863966.37399999995</v>
      </c>
      <c r="AV14" s="54">
        <v>39168</v>
      </c>
      <c r="AW14" s="54">
        <v>159487.1</v>
      </c>
      <c r="AX14" s="54">
        <v>1062621.47</v>
      </c>
      <c r="AY14" s="54">
        <v>0</v>
      </c>
      <c r="AZ14" s="54">
        <v>1076428.43</v>
      </c>
      <c r="BA14" s="54">
        <v>1538.56</v>
      </c>
      <c r="BB14" s="28">
        <v>3857.5</v>
      </c>
      <c r="BC14" s="54">
        <v>432.64</v>
      </c>
      <c r="BD14" s="54">
        <v>386.56</v>
      </c>
      <c r="BE14" s="54">
        <v>1126.4000000000001</v>
      </c>
      <c r="BF14" s="54">
        <v>3340.8</v>
      </c>
      <c r="BG14" s="54">
        <v>10682.46</v>
      </c>
      <c r="BH14" s="55">
        <v>241</v>
      </c>
      <c r="BI14" s="55">
        <v>1112697</v>
      </c>
      <c r="BJ14" s="55">
        <v>0</v>
      </c>
      <c r="BK14" s="55">
        <v>0</v>
      </c>
      <c r="BL14" s="55">
        <v>65628.2</v>
      </c>
      <c r="BM14" s="55">
        <v>96391.85</v>
      </c>
      <c r="BN14" s="55">
        <v>2187.6</v>
      </c>
      <c r="BO14" s="55">
        <v>5992.2</v>
      </c>
      <c r="BP14" s="55">
        <v>49696.4</v>
      </c>
      <c r="BQ14" s="55">
        <v>9130.8799999999992</v>
      </c>
      <c r="BR14" s="55">
        <v>57603.25</v>
      </c>
      <c r="BS14" s="55">
        <v>3186.32</v>
      </c>
      <c r="BT14" s="55">
        <v>67098.720000000001</v>
      </c>
      <c r="BU14" s="55">
        <v>102608.24</v>
      </c>
      <c r="BV14" s="55">
        <v>0</v>
      </c>
      <c r="BW14" s="55">
        <v>152181.76000000001</v>
      </c>
      <c r="BX14" s="55">
        <v>31334</v>
      </c>
      <c r="BY14" s="55">
        <v>0</v>
      </c>
      <c r="BZ14" s="55">
        <v>1755736.42</v>
      </c>
      <c r="CA14" s="54">
        <v>34096.68</v>
      </c>
      <c r="CB14" s="54">
        <v>0</v>
      </c>
      <c r="CC14" s="54">
        <v>0</v>
      </c>
      <c r="CD14" s="54">
        <v>14219.75</v>
      </c>
      <c r="CE14" s="54">
        <v>5362.01</v>
      </c>
      <c r="CF14" s="28">
        <v>0</v>
      </c>
      <c r="CG14" s="54">
        <v>16153</v>
      </c>
      <c r="CH14" s="54">
        <v>8265.25</v>
      </c>
      <c r="CI14" s="54">
        <v>7554</v>
      </c>
      <c r="CJ14" s="54">
        <v>0</v>
      </c>
      <c r="CK14" s="54"/>
      <c r="CL14" s="54"/>
      <c r="CM14" s="54"/>
      <c r="CN14" s="54"/>
      <c r="CO14" s="54"/>
      <c r="CP14" s="54"/>
      <c r="CQ14" s="54"/>
      <c r="CR14" s="54"/>
    </row>
    <row r="15" spans="1:96">
      <c r="A15" s="1">
        <v>2042532</v>
      </c>
      <c r="B15" s="1" t="s">
        <v>334</v>
      </c>
      <c r="C15" s="1" t="s">
        <v>322</v>
      </c>
      <c r="D15" s="1" t="s">
        <v>14</v>
      </c>
      <c r="E15" s="1">
        <v>176</v>
      </c>
      <c r="F15" s="1">
        <v>0</v>
      </c>
      <c r="G15" s="1">
        <v>0</v>
      </c>
      <c r="H15" s="54">
        <v>836089.76</v>
      </c>
      <c r="I15" s="1">
        <v>76</v>
      </c>
      <c r="J15" s="1">
        <v>0</v>
      </c>
      <c r="K15" s="54">
        <v>44190.96</v>
      </c>
      <c r="L15" s="1">
        <v>77</v>
      </c>
      <c r="M15" s="1">
        <v>0</v>
      </c>
      <c r="N15" s="54">
        <v>74925.62</v>
      </c>
      <c r="O15" s="1">
        <v>8.0919540229999996</v>
      </c>
      <c r="P15" s="1">
        <v>66.758620690000001</v>
      </c>
      <c r="Q15" s="1">
        <v>16.183908049999999</v>
      </c>
      <c r="R15" s="1">
        <v>21.241379309999999</v>
      </c>
      <c r="S15" s="1">
        <v>44.505747130000003</v>
      </c>
      <c r="T15" s="1">
        <v>0</v>
      </c>
      <c r="U15" s="1">
        <v>0</v>
      </c>
      <c r="V15" s="1">
        <v>0</v>
      </c>
      <c r="W15" s="1">
        <v>0</v>
      </c>
      <c r="X15" s="1">
        <v>0</v>
      </c>
      <c r="Y15" s="1">
        <v>0</v>
      </c>
      <c r="Z15" s="1">
        <v>0</v>
      </c>
      <c r="AA15" s="54">
        <v>72804.289999999994</v>
      </c>
      <c r="AB15" s="1">
        <v>73.234899330000005</v>
      </c>
      <c r="AC15" s="1">
        <v>0</v>
      </c>
      <c r="AD15" s="54">
        <v>51273.95</v>
      </c>
      <c r="AE15" s="1">
        <v>56.059701490000002</v>
      </c>
      <c r="AF15" s="1">
        <v>0</v>
      </c>
      <c r="AG15" s="54">
        <v>77832.73</v>
      </c>
      <c r="AH15" s="1">
        <v>10.44</v>
      </c>
      <c r="AI15" s="1">
        <v>0</v>
      </c>
      <c r="AJ15" s="54">
        <v>11893.14</v>
      </c>
      <c r="AK15" s="54">
        <v>159487.1</v>
      </c>
      <c r="AL15" s="54">
        <v>42028</v>
      </c>
      <c r="AM15" s="54">
        <v>1553850.39</v>
      </c>
      <c r="AN15" s="54">
        <v>47279.65</v>
      </c>
      <c r="AO15" s="54">
        <v>38527</v>
      </c>
      <c r="AP15" s="54">
        <v>159487.1</v>
      </c>
      <c r="AQ15" s="54">
        <v>1403115.94</v>
      </c>
      <c r="AR15" s="54">
        <v>215</v>
      </c>
      <c r="AS15" s="54">
        <v>6526.1206510000002</v>
      </c>
      <c r="AT15" s="54">
        <v>6558.7512539999998</v>
      </c>
      <c r="AU15" s="54">
        <v>1154340.2209999999</v>
      </c>
      <c r="AV15" s="54">
        <v>42028</v>
      </c>
      <c r="AW15" s="54">
        <v>159487.1</v>
      </c>
      <c r="AX15" s="54">
        <v>1355855.32</v>
      </c>
      <c r="AY15" s="54">
        <v>0</v>
      </c>
      <c r="AZ15" s="54">
        <v>1370525.55</v>
      </c>
      <c r="BA15" s="54">
        <v>2115.52</v>
      </c>
      <c r="BB15" s="28">
        <v>6298.2</v>
      </c>
      <c r="BC15" s="54">
        <v>594.88</v>
      </c>
      <c r="BD15" s="54">
        <v>531.52</v>
      </c>
      <c r="BE15" s="54">
        <v>1548.8</v>
      </c>
      <c r="BF15" s="54">
        <v>4593.6000000000004</v>
      </c>
      <c r="BG15" s="54">
        <v>15682.519999999999</v>
      </c>
      <c r="BH15" s="55">
        <v>215</v>
      </c>
      <c r="BI15" s="55">
        <v>992655</v>
      </c>
      <c r="BJ15" s="55">
        <v>0</v>
      </c>
      <c r="BK15" s="55">
        <v>0</v>
      </c>
      <c r="BL15" s="55">
        <v>51931.88</v>
      </c>
      <c r="BM15" s="55">
        <v>77951.67</v>
      </c>
      <c r="BN15" s="55">
        <v>4648.6499999999996</v>
      </c>
      <c r="BO15" s="55">
        <v>22304.3</v>
      </c>
      <c r="BP15" s="55">
        <v>15170.48</v>
      </c>
      <c r="BQ15" s="55">
        <v>13696.32</v>
      </c>
      <c r="BR15" s="55">
        <v>33955.599999999999</v>
      </c>
      <c r="BS15" s="55">
        <v>1593.16</v>
      </c>
      <c r="BT15" s="55">
        <v>39535.35</v>
      </c>
      <c r="BU15" s="55">
        <v>92440.04</v>
      </c>
      <c r="BV15" s="55">
        <v>14718.24</v>
      </c>
      <c r="BW15" s="55">
        <v>152181.76000000001</v>
      </c>
      <c r="BX15" s="55">
        <v>38527</v>
      </c>
      <c r="BY15" s="55">
        <v>2540.9499999999998</v>
      </c>
      <c r="BZ15" s="55">
        <v>1553850.39</v>
      </c>
      <c r="CA15" s="54">
        <v>30418.2</v>
      </c>
      <c r="CB15" s="54">
        <v>0</v>
      </c>
      <c r="CC15" s="54">
        <v>0</v>
      </c>
      <c r="CD15" s="54">
        <v>11499.45</v>
      </c>
      <c r="CE15" s="54">
        <v>5362.01</v>
      </c>
      <c r="CF15" s="28">
        <v>0</v>
      </c>
      <c r="CG15" s="54">
        <v>14229</v>
      </c>
      <c r="CH15" s="54">
        <v>6669.75</v>
      </c>
      <c r="CI15" s="54">
        <v>7413</v>
      </c>
      <c r="CJ15" s="54">
        <v>0</v>
      </c>
      <c r="CK15" s="54"/>
      <c r="CL15" s="54"/>
      <c r="CM15" s="54"/>
      <c r="CN15" s="54"/>
      <c r="CO15" s="54"/>
      <c r="CP15" s="54"/>
      <c r="CQ15" s="54"/>
      <c r="CR15" s="54"/>
    </row>
    <row r="16" spans="1:96">
      <c r="A16" s="1">
        <v>2042533</v>
      </c>
      <c r="B16" s="1" t="s">
        <v>335</v>
      </c>
      <c r="C16" s="1" t="s">
        <v>322</v>
      </c>
      <c r="D16" s="1" t="s">
        <v>14</v>
      </c>
      <c r="E16" s="1">
        <v>403</v>
      </c>
      <c r="F16" s="1">
        <v>0</v>
      </c>
      <c r="G16" s="1">
        <v>0</v>
      </c>
      <c r="H16" s="54">
        <v>1914455.53</v>
      </c>
      <c r="I16" s="1">
        <v>93</v>
      </c>
      <c r="J16" s="1">
        <v>0</v>
      </c>
      <c r="K16" s="54">
        <v>54075.78</v>
      </c>
      <c r="L16" s="1">
        <v>93</v>
      </c>
      <c r="M16" s="1">
        <v>0</v>
      </c>
      <c r="N16" s="54">
        <v>90494.58</v>
      </c>
      <c r="O16" s="1">
        <v>217</v>
      </c>
      <c r="P16" s="1">
        <v>35</v>
      </c>
      <c r="Q16" s="1">
        <v>47</v>
      </c>
      <c r="R16" s="1">
        <v>13</v>
      </c>
      <c r="S16" s="1">
        <v>14</v>
      </c>
      <c r="T16" s="1">
        <v>1</v>
      </c>
      <c r="U16" s="1">
        <v>0</v>
      </c>
      <c r="V16" s="1">
        <v>0</v>
      </c>
      <c r="W16" s="1">
        <v>0</v>
      </c>
      <c r="X16" s="1">
        <v>0</v>
      </c>
      <c r="Y16" s="1">
        <v>0</v>
      </c>
      <c r="Z16" s="1">
        <v>0</v>
      </c>
      <c r="AA16" s="54">
        <v>114015.25</v>
      </c>
      <c r="AB16" s="1">
        <v>46.776785709999999</v>
      </c>
      <c r="AC16" s="1">
        <v>0</v>
      </c>
      <c r="AD16" s="54">
        <v>32749.83</v>
      </c>
      <c r="AE16" s="1">
        <v>136.0504846</v>
      </c>
      <c r="AF16" s="1">
        <v>0</v>
      </c>
      <c r="AG16" s="54">
        <v>188891.13</v>
      </c>
      <c r="AH16" s="1">
        <v>1.82</v>
      </c>
      <c r="AI16" s="1">
        <v>0</v>
      </c>
      <c r="AJ16" s="54">
        <v>2073.33</v>
      </c>
      <c r="AK16" s="54">
        <v>159487.1</v>
      </c>
      <c r="AL16" s="54">
        <v>49210</v>
      </c>
      <c r="AM16" s="54">
        <v>2647120.9</v>
      </c>
      <c r="AN16" s="54">
        <v>75027.77</v>
      </c>
      <c r="AO16" s="54">
        <v>43411</v>
      </c>
      <c r="AP16" s="54">
        <v>159487.1</v>
      </c>
      <c r="AQ16" s="54">
        <v>2519250.5699999998</v>
      </c>
      <c r="AR16" s="54">
        <v>412</v>
      </c>
      <c r="AS16" s="54">
        <v>6114.6858499999998</v>
      </c>
      <c r="AT16" s="54">
        <v>6145.2592789999999</v>
      </c>
      <c r="AU16" s="54">
        <v>2476539.4890000001</v>
      </c>
      <c r="AV16" s="54">
        <v>49210</v>
      </c>
      <c r="AW16" s="54">
        <v>159487.1</v>
      </c>
      <c r="AX16" s="54">
        <v>2685236.59</v>
      </c>
      <c r="AY16" s="54">
        <v>79784.06</v>
      </c>
      <c r="AZ16" s="54">
        <v>2685236.59</v>
      </c>
      <c r="BA16" s="54">
        <v>4844.0600000000004</v>
      </c>
      <c r="BB16" s="28">
        <v>4022.8</v>
      </c>
      <c r="BC16" s="54">
        <v>1362.14</v>
      </c>
      <c r="BD16" s="54">
        <v>1217.06</v>
      </c>
      <c r="BE16" s="54">
        <v>3546.4</v>
      </c>
      <c r="BF16" s="54">
        <v>10518.3</v>
      </c>
      <c r="BG16" s="54">
        <v>25510.76</v>
      </c>
      <c r="BH16" s="55">
        <v>412</v>
      </c>
      <c r="BI16" s="55">
        <v>1902204</v>
      </c>
      <c r="BJ16" s="55">
        <v>0</v>
      </c>
      <c r="BK16" s="55">
        <v>0</v>
      </c>
      <c r="BL16" s="55">
        <v>52502.559999999998</v>
      </c>
      <c r="BM16" s="55">
        <v>77113.48</v>
      </c>
      <c r="BN16" s="55">
        <v>60432.45</v>
      </c>
      <c r="BO16" s="55">
        <v>10319.9</v>
      </c>
      <c r="BP16" s="55">
        <v>29817.84</v>
      </c>
      <c r="BQ16" s="55">
        <v>9130.8799999999992</v>
      </c>
      <c r="BR16" s="55">
        <v>6063.5</v>
      </c>
      <c r="BS16" s="55">
        <v>2389.7399999999998</v>
      </c>
      <c r="BT16" s="55">
        <v>33185.800000000003</v>
      </c>
      <c r="BU16" s="55">
        <v>176340.28</v>
      </c>
      <c r="BV16" s="55">
        <v>4808.71</v>
      </c>
      <c r="BW16" s="55">
        <v>152181.76000000001</v>
      </c>
      <c r="BX16" s="55">
        <v>43411</v>
      </c>
      <c r="BY16" s="55">
        <v>87219</v>
      </c>
      <c r="BZ16" s="55">
        <v>2647120.9</v>
      </c>
      <c r="CA16" s="54">
        <v>58289.760000000002</v>
      </c>
      <c r="CB16" s="54">
        <v>0</v>
      </c>
      <c r="CC16" s="54">
        <v>0</v>
      </c>
      <c r="CD16" s="54">
        <v>11252.15</v>
      </c>
      <c r="CE16" s="54">
        <v>5362.01</v>
      </c>
      <c r="CF16" s="28">
        <v>0</v>
      </c>
      <c r="CG16" s="54">
        <v>22587</v>
      </c>
      <c r="CH16" s="54">
        <v>6815.5</v>
      </c>
      <c r="CI16" s="54">
        <v>8125</v>
      </c>
      <c r="CJ16" s="54">
        <v>0</v>
      </c>
      <c r="CK16" s="54"/>
      <c r="CL16" s="54"/>
      <c r="CM16" s="54"/>
      <c r="CN16" s="54"/>
      <c r="CO16" s="54"/>
      <c r="CP16" s="54"/>
      <c r="CQ16" s="54"/>
      <c r="CR16" s="54"/>
    </row>
    <row r="17" spans="1:96">
      <c r="A17" s="1">
        <v>2042534</v>
      </c>
      <c r="B17" s="1" t="s">
        <v>336</v>
      </c>
      <c r="C17" s="1" t="s">
        <v>322</v>
      </c>
      <c r="D17" s="1" t="s">
        <v>14</v>
      </c>
      <c r="E17" s="1">
        <v>490</v>
      </c>
      <c r="F17" s="1">
        <v>0</v>
      </c>
      <c r="G17" s="1">
        <v>0</v>
      </c>
      <c r="H17" s="54">
        <v>2327749.9</v>
      </c>
      <c r="I17" s="1">
        <v>126</v>
      </c>
      <c r="J17" s="1">
        <v>0</v>
      </c>
      <c r="K17" s="54">
        <v>73263.960000000006</v>
      </c>
      <c r="L17" s="1">
        <v>128</v>
      </c>
      <c r="M17" s="1">
        <v>0</v>
      </c>
      <c r="N17" s="54">
        <v>124551.67999999999</v>
      </c>
      <c r="O17" s="1">
        <v>175.3578732</v>
      </c>
      <c r="P17" s="1">
        <v>156.3190184</v>
      </c>
      <c r="Q17" s="1">
        <v>92.188139059999997</v>
      </c>
      <c r="R17" s="1">
        <v>12.024539880000001</v>
      </c>
      <c r="S17" s="1">
        <v>43.087934560000001</v>
      </c>
      <c r="T17" s="1">
        <v>3.0061349690000001</v>
      </c>
      <c r="U17" s="1">
        <v>0</v>
      </c>
      <c r="V17" s="1">
        <v>0</v>
      </c>
      <c r="W17" s="1">
        <v>0</v>
      </c>
      <c r="X17" s="1">
        <v>0</v>
      </c>
      <c r="Y17" s="1">
        <v>0</v>
      </c>
      <c r="Z17" s="1">
        <v>0</v>
      </c>
      <c r="AA17" s="54">
        <v>186128.56</v>
      </c>
      <c r="AB17" s="1">
        <v>66.093023259999995</v>
      </c>
      <c r="AC17" s="1">
        <v>0</v>
      </c>
      <c r="AD17" s="54">
        <v>46273.71</v>
      </c>
      <c r="AE17" s="1">
        <v>76.028978620000004</v>
      </c>
      <c r="AF17" s="1">
        <v>0</v>
      </c>
      <c r="AG17" s="54">
        <v>105557.87</v>
      </c>
      <c r="AH17" s="1">
        <v>0</v>
      </c>
      <c r="AI17" s="1">
        <v>0</v>
      </c>
      <c r="AJ17" s="54">
        <v>0</v>
      </c>
      <c r="AK17" s="54">
        <v>159487.1</v>
      </c>
      <c r="AL17" s="54">
        <v>67032</v>
      </c>
      <c r="AM17" s="54">
        <v>3109445.32</v>
      </c>
      <c r="AN17" s="54">
        <v>89243.65</v>
      </c>
      <c r="AO17" s="54">
        <v>43954</v>
      </c>
      <c r="AP17" s="54">
        <v>159487.1</v>
      </c>
      <c r="AQ17" s="54">
        <v>2995247.87</v>
      </c>
      <c r="AR17" s="54">
        <v>495</v>
      </c>
      <c r="AS17" s="54">
        <v>6051.0057980000001</v>
      </c>
      <c r="AT17" s="54">
        <v>6081.2608270000001</v>
      </c>
      <c r="AU17" s="54">
        <v>2979817.8050000002</v>
      </c>
      <c r="AV17" s="54">
        <v>67032</v>
      </c>
      <c r="AW17" s="54">
        <v>159487.1</v>
      </c>
      <c r="AX17" s="54">
        <v>3206336.91</v>
      </c>
      <c r="AY17" s="54">
        <v>116292.12</v>
      </c>
      <c r="AZ17" s="54">
        <v>3206336.91</v>
      </c>
      <c r="BA17" s="54">
        <v>5889.8</v>
      </c>
      <c r="BB17" s="28">
        <v>5684</v>
      </c>
      <c r="BC17" s="54">
        <v>1656.2</v>
      </c>
      <c r="BD17" s="54">
        <v>1479.8</v>
      </c>
      <c r="BE17" s="54">
        <v>4312</v>
      </c>
      <c r="BF17" s="54">
        <v>12789</v>
      </c>
      <c r="BG17" s="54">
        <v>31810.799999999999</v>
      </c>
      <c r="BH17" s="55">
        <v>495</v>
      </c>
      <c r="BI17" s="55">
        <v>2285415</v>
      </c>
      <c r="BJ17" s="55">
        <v>0</v>
      </c>
      <c r="BK17" s="55">
        <v>0</v>
      </c>
      <c r="BL17" s="55">
        <v>58209.36</v>
      </c>
      <c r="BM17" s="55">
        <v>93877.28</v>
      </c>
      <c r="BN17" s="55">
        <v>47498.76</v>
      </c>
      <c r="BO17" s="55">
        <v>54482.83</v>
      </c>
      <c r="BP17" s="55">
        <v>47271.8</v>
      </c>
      <c r="BQ17" s="55">
        <v>8594.93</v>
      </c>
      <c r="BR17" s="55">
        <v>26178.82</v>
      </c>
      <c r="BS17" s="55">
        <v>1599.62</v>
      </c>
      <c r="BT17" s="55">
        <v>43942.25</v>
      </c>
      <c r="BU17" s="55">
        <v>95772.05</v>
      </c>
      <c r="BV17" s="55">
        <v>0</v>
      </c>
      <c r="BW17" s="55">
        <v>152181.76000000001</v>
      </c>
      <c r="BX17" s="55">
        <v>43954</v>
      </c>
      <c r="BY17" s="55">
        <v>150466.85</v>
      </c>
      <c r="BZ17" s="55">
        <v>3109445.32</v>
      </c>
      <c r="CA17" s="54">
        <v>70032.600000000006</v>
      </c>
      <c r="CB17" s="54">
        <v>0</v>
      </c>
      <c r="CC17" s="54">
        <v>0</v>
      </c>
      <c r="CD17" s="54">
        <v>13725.15</v>
      </c>
      <c r="CE17" s="54">
        <v>5362.01</v>
      </c>
      <c r="CF17" s="28">
        <v>0</v>
      </c>
      <c r="CG17" s="54">
        <v>26877</v>
      </c>
      <c r="CH17" s="54">
        <v>8409.75</v>
      </c>
      <c r="CI17" s="54">
        <v>8508</v>
      </c>
      <c r="CJ17" s="54">
        <v>0</v>
      </c>
      <c r="CK17" s="54"/>
      <c r="CL17" s="54"/>
      <c r="CM17" s="54"/>
      <c r="CN17" s="54"/>
      <c r="CO17" s="54"/>
      <c r="CP17" s="54"/>
      <c r="CQ17" s="54"/>
      <c r="CR17" s="54"/>
    </row>
    <row r="18" spans="1:96">
      <c r="A18" s="1">
        <v>2042539</v>
      </c>
      <c r="B18" s="1" t="s">
        <v>337</v>
      </c>
      <c r="C18" s="1" t="s">
        <v>322</v>
      </c>
      <c r="D18" s="1" t="s">
        <v>14</v>
      </c>
      <c r="E18" s="1">
        <v>397</v>
      </c>
      <c r="F18" s="1">
        <v>0</v>
      </c>
      <c r="G18" s="1">
        <v>0</v>
      </c>
      <c r="H18" s="54">
        <v>1885952.47</v>
      </c>
      <c r="I18" s="1">
        <v>166</v>
      </c>
      <c r="J18" s="1">
        <v>0</v>
      </c>
      <c r="K18" s="54">
        <v>96522.36</v>
      </c>
      <c r="L18" s="1">
        <v>168</v>
      </c>
      <c r="M18" s="1">
        <v>0</v>
      </c>
      <c r="N18" s="54">
        <v>163474.07999999999</v>
      </c>
      <c r="O18" s="1">
        <v>16.040404039999999</v>
      </c>
      <c r="P18" s="1">
        <v>49.123737370000001</v>
      </c>
      <c r="Q18" s="1">
        <v>193.48737370000001</v>
      </c>
      <c r="R18" s="1">
        <v>31.078282829999999</v>
      </c>
      <c r="S18" s="1">
        <v>99.25</v>
      </c>
      <c r="T18" s="1">
        <v>1.0025252529999999</v>
      </c>
      <c r="U18" s="1">
        <v>0</v>
      </c>
      <c r="V18" s="1">
        <v>0</v>
      </c>
      <c r="W18" s="1">
        <v>0</v>
      </c>
      <c r="X18" s="1">
        <v>0</v>
      </c>
      <c r="Y18" s="1">
        <v>0</v>
      </c>
      <c r="Z18" s="1">
        <v>0</v>
      </c>
      <c r="AA18" s="54">
        <v>202609.88</v>
      </c>
      <c r="AB18" s="1">
        <v>101.0118343</v>
      </c>
      <c r="AC18" s="1">
        <v>0</v>
      </c>
      <c r="AD18" s="54">
        <v>70721.42</v>
      </c>
      <c r="AE18" s="1">
        <v>72.681128169999994</v>
      </c>
      <c r="AF18" s="1">
        <v>0</v>
      </c>
      <c r="AG18" s="54">
        <v>100909.75</v>
      </c>
      <c r="AH18" s="1">
        <v>0</v>
      </c>
      <c r="AI18" s="1">
        <v>0</v>
      </c>
      <c r="AJ18" s="54">
        <v>0</v>
      </c>
      <c r="AK18" s="54">
        <v>159487.1</v>
      </c>
      <c r="AL18" s="54">
        <v>45312</v>
      </c>
      <c r="AM18" s="54">
        <v>2543733.46</v>
      </c>
      <c r="AN18" s="54">
        <v>79208</v>
      </c>
      <c r="AO18" s="54">
        <v>36296</v>
      </c>
      <c r="AP18" s="54">
        <v>159487.1</v>
      </c>
      <c r="AQ18" s="54">
        <v>2427158.36</v>
      </c>
      <c r="AR18" s="54">
        <v>376</v>
      </c>
      <c r="AS18" s="54">
        <v>6455.208404</v>
      </c>
      <c r="AT18" s="54">
        <v>6487.4844460000004</v>
      </c>
      <c r="AU18" s="54">
        <v>2575531.3250000002</v>
      </c>
      <c r="AV18" s="54">
        <v>45312</v>
      </c>
      <c r="AW18" s="54">
        <v>159487.1</v>
      </c>
      <c r="AX18" s="54">
        <v>2780330.43</v>
      </c>
      <c r="AY18" s="54">
        <v>55341.37</v>
      </c>
      <c r="AZ18" s="54">
        <v>2780330.43</v>
      </c>
      <c r="BA18" s="54">
        <v>4771.9399999999996</v>
      </c>
      <c r="BB18" s="28">
        <v>8687.02</v>
      </c>
      <c r="BC18" s="54">
        <v>1341.86</v>
      </c>
      <c r="BD18" s="54">
        <v>1198.94</v>
      </c>
      <c r="BE18" s="54">
        <v>3493.6</v>
      </c>
      <c r="BF18" s="54">
        <v>10361.700000000001</v>
      </c>
      <c r="BG18" s="54">
        <v>29855.06</v>
      </c>
      <c r="BH18" s="55">
        <v>376</v>
      </c>
      <c r="BI18" s="55">
        <v>1735992</v>
      </c>
      <c r="BJ18" s="55">
        <v>0</v>
      </c>
      <c r="BK18" s="55">
        <v>0</v>
      </c>
      <c r="BL18" s="55">
        <v>93591.52</v>
      </c>
      <c r="BM18" s="55">
        <v>139977.73000000001</v>
      </c>
      <c r="BN18" s="55">
        <v>4648.6499999999996</v>
      </c>
      <c r="BO18" s="55">
        <v>17643.7</v>
      </c>
      <c r="BP18" s="55">
        <v>94161.600000000006</v>
      </c>
      <c r="BQ18" s="55">
        <v>18261.759999999998</v>
      </c>
      <c r="BR18" s="55">
        <v>50933.4</v>
      </c>
      <c r="BS18" s="55">
        <v>1593.16</v>
      </c>
      <c r="BT18" s="55">
        <v>67040.81</v>
      </c>
      <c r="BU18" s="55">
        <v>87455.4</v>
      </c>
      <c r="BV18" s="55">
        <v>4988.47</v>
      </c>
      <c r="BW18" s="55">
        <v>152181.76000000001</v>
      </c>
      <c r="BX18" s="55">
        <v>36296</v>
      </c>
      <c r="BY18" s="55">
        <v>38967.5</v>
      </c>
      <c r="BZ18" s="55">
        <v>2543733.46</v>
      </c>
      <c r="CA18" s="54">
        <v>53196.480000000003</v>
      </c>
      <c r="CB18" s="54">
        <v>0</v>
      </c>
      <c r="CC18" s="54">
        <v>0</v>
      </c>
      <c r="CD18" s="54">
        <v>20402.25</v>
      </c>
      <c r="CE18" s="54">
        <v>5362.01</v>
      </c>
      <c r="CF18" s="28">
        <v>0</v>
      </c>
      <c r="CG18" s="54">
        <v>23774</v>
      </c>
      <c r="CH18" s="54">
        <v>12180</v>
      </c>
      <c r="CI18" s="54">
        <v>7983</v>
      </c>
      <c r="CJ18" s="54">
        <v>0</v>
      </c>
      <c r="CK18" s="54"/>
      <c r="CL18" s="54"/>
      <c r="CM18" s="54"/>
      <c r="CN18" s="54"/>
      <c r="CO18" s="54"/>
      <c r="CP18" s="54"/>
      <c r="CQ18" s="54"/>
      <c r="CR18" s="54"/>
    </row>
    <row r="19" spans="1:96">
      <c r="A19" s="1">
        <v>2042545</v>
      </c>
      <c r="B19" s="1" t="s">
        <v>338</v>
      </c>
      <c r="C19" s="1" t="s">
        <v>322</v>
      </c>
      <c r="D19" s="1" t="s">
        <v>14</v>
      </c>
      <c r="E19" s="1">
        <v>413</v>
      </c>
      <c r="F19" s="1">
        <v>0</v>
      </c>
      <c r="G19" s="1">
        <v>0</v>
      </c>
      <c r="H19" s="54">
        <v>1961960.63</v>
      </c>
      <c r="I19" s="1">
        <v>121</v>
      </c>
      <c r="J19" s="1">
        <v>0</v>
      </c>
      <c r="K19" s="54">
        <v>70356.66</v>
      </c>
      <c r="L19" s="1">
        <v>122</v>
      </c>
      <c r="M19" s="1">
        <v>0</v>
      </c>
      <c r="N19" s="54">
        <v>118713.32</v>
      </c>
      <c r="O19" s="1">
        <v>41</v>
      </c>
      <c r="P19" s="1">
        <v>84</v>
      </c>
      <c r="Q19" s="1">
        <v>56</v>
      </c>
      <c r="R19" s="1">
        <v>73</v>
      </c>
      <c r="S19" s="1">
        <v>126</v>
      </c>
      <c r="T19" s="1">
        <v>0</v>
      </c>
      <c r="U19" s="1">
        <v>0</v>
      </c>
      <c r="V19" s="1">
        <v>0</v>
      </c>
      <c r="W19" s="1">
        <v>0</v>
      </c>
      <c r="X19" s="1">
        <v>0</v>
      </c>
      <c r="Y19" s="1">
        <v>0</v>
      </c>
      <c r="Z19" s="1">
        <v>0</v>
      </c>
      <c r="AA19" s="54">
        <v>188429.9</v>
      </c>
      <c r="AB19" s="1">
        <v>70.198300279999998</v>
      </c>
      <c r="AC19" s="1">
        <v>0</v>
      </c>
      <c r="AD19" s="54">
        <v>49147.94</v>
      </c>
      <c r="AE19" s="1">
        <v>64.44743047</v>
      </c>
      <c r="AF19" s="1">
        <v>0</v>
      </c>
      <c r="AG19" s="54">
        <v>89478.17</v>
      </c>
      <c r="AH19" s="1">
        <v>5.2928155339999998</v>
      </c>
      <c r="AI19" s="1">
        <v>0</v>
      </c>
      <c r="AJ19" s="54">
        <v>6029.52</v>
      </c>
      <c r="AK19" s="54">
        <v>159487.1</v>
      </c>
      <c r="AL19" s="54">
        <v>47614</v>
      </c>
      <c r="AM19" s="54">
        <v>2666278.79</v>
      </c>
      <c r="AN19" s="54">
        <v>78930.990000000005</v>
      </c>
      <c r="AO19" s="54">
        <v>44768</v>
      </c>
      <c r="AP19" s="54">
        <v>159487.1</v>
      </c>
      <c r="AQ19" s="54">
        <v>2540954.6800000002</v>
      </c>
      <c r="AR19" s="54">
        <v>409</v>
      </c>
      <c r="AS19" s="54">
        <v>6212.6031300000004</v>
      </c>
      <c r="AT19" s="54">
        <v>6243.6661450000001</v>
      </c>
      <c r="AU19" s="54">
        <v>2578634.1179999998</v>
      </c>
      <c r="AV19" s="54">
        <v>47614</v>
      </c>
      <c r="AW19" s="54">
        <v>159487.1</v>
      </c>
      <c r="AX19" s="54">
        <v>2785735.22</v>
      </c>
      <c r="AY19" s="54">
        <v>94517.98</v>
      </c>
      <c r="AZ19" s="54">
        <v>2785735.22</v>
      </c>
      <c r="BA19" s="54">
        <v>4964.26</v>
      </c>
      <c r="BB19" s="28">
        <v>6037.05</v>
      </c>
      <c r="BC19" s="54">
        <v>1395.94</v>
      </c>
      <c r="BD19" s="54">
        <v>1247.26</v>
      </c>
      <c r="BE19" s="54">
        <v>3634.4</v>
      </c>
      <c r="BF19" s="54">
        <v>10779.3</v>
      </c>
      <c r="BG19" s="54">
        <v>28058.210000000003</v>
      </c>
      <c r="BH19" s="55">
        <v>409</v>
      </c>
      <c r="BI19" s="55">
        <v>1888353</v>
      </c>
      <c r="BJ19" s="55">
        <v>0</v>
      </c>
      <c r="BK19" s="55">
        <v>0</v>
      </c>
      <c r="BL19" s="55">
        <v>71335</v>
      </c>
      <c r="BM19" s="55">
        <v>106450.13</v>
      </c>
      <c r="BN19" s="55">
        <v>11484.9</v>
      </c>
      <c r="BO19" s="55">
        <v>29295.200000000001</v>
      </c>
      <c r="BP19" s="55">
        <v>32956.559999999998</v>
      </c>
      <c r="BQ19" s="55">
        <v>32528.76</v>
      </c>
      <c r="BR19" s="55">
        <v>77006.45</v>
      </c>
      <c r="BS19" s="55">
        <v>0</v>
      </c>
      <c r="BT19" s="55">
        <v>60893.73</v>
      </c>
      <c r="BU19" s="55">
        <v>100059.4</v>
      </c>
      <c r="BV19" s="55">
        <v>3887.41</v>
      </c>
      <c r="BW19" s="55">
        <v>152181.76000000001</v>
      </c>
      <c r="BX19" s="55">
        <v>44768</v>
      </c>
      <c r="BY19" s="55">
        <v>55078.48</v>
      </c>
      <c r="BZ19" s="55">
        <v>2666278.79</v>
      </c>
      <c r="CA19" s="54">
        <v>57865.32</v>
      </c>
      <c r="CB19" s="54">
        <v>0</v>
      </c>
      <c r="CC19" s="54">
        <v>0</v>
      </c>
      <c r="CD19" s="54">
        <v>15703.55</v>
      </c>
      <c r="CE19" s="54">
        <v>5362.01</v>
      </c>
      <c r="CF19" s="28">
        <v>0</v>
      </c>
      <c r="CG19" s="54">
        <v>23786</v>
      </c>
      <c r="CH19" s="54">
        <v>9135.25</v>
      </c>
      <c r="CI19" s="54">
        <v>8146</v>
      </c>
      <c r="CJ19" s="54">
        <v>0</v>
      </c>
      <c r="CK19" s="54"/>
      <c r="CL19" s="54"/>
      <c r="CM19" s="54"/>
      <c r="CN19" s="54"/>
      <c r="CO19" s="54"/>
      <c r="CP19" s="54"/>
      <c r="CQ19" s="54"/>
      <c r="CR19" s="54"/>
    </row>
    <row r="20" spans="1:96">
      <c r="A20" s="1">
        <v>2042564</v>
      </c>
      <c r="B20" s="1" t="s">
        <v>339</v>
      </c>
      <c r="C20" s="1" t="s">
        <v>322</v>
      </c>
      <c r="D20" s="1" t="s">
        <v>14</v>
      </c>
      <c r="E20" s="1">
        <v>334</v>
      </c>
      <c r="F20" s="1">
        <v>0</v>
      </c>
      <c r="G20" s="1">
        <v>0</v>
      </c>
      <c r="H20" s="54">
        <v>1586670.34</v>
      </c>
      <c r="I20" s="1">
        <v>147</v>
      </c>
      <c r="J20" s="1">
        <v>0</v>
      </c>
      <c r="K20" s="54">
        <v>85474.62</v>
      </c>
      <c r="L20" s="1">
        <v>148</v>
      </c>
      <c r="M20" s="1">
        <v>0</v>
      </c>
      <c r="N20" s="54">
        <v>144012.88</v>
      </c>
      <c r="O20" s="1">
        <v>27</v>
      </c>
      <c r="P20" s="1">
        <v>118</v>
      </c>
      <c r="Q20" s="1">
        <v>66</v>
      </c>
      <c r="R20" s="1">
        <v>59</v>
      </c>
      <c r="S20" s="1">
        <v>49</v>
      </c>
      <c r="T20" s="1">
        <v>4</v>
      </c>
      <c r="U20" s="1">
        <v>0</v>
      </c>
      <c r="V20" s="1">
        <v>0</v>
      </c>
      <c r="W20" s="1">
        <v>0</v>
      </c>
      <c r="X20" s="1">
        <v>0</v>
      </c>
      <c r="Y20" s="1">
        <v>0</v>
      </c>
      <c r="Z20" s="1">
        <v>0</v>
      </c>
      <c r="AA20" s="54">
        <v>149418.41</v>
      </c>
      <c r="AB20" s="1">
        <v>99.855670099999998</v>
      </c>
      <c r="AC20" s="1">
        <v>0</v>
      </c>
      <c r="AD20" s="54">
        <v>69911.95</v>
      </c>
      <c r="AE20" s="1">
        <v>82.081343290000007</v>
      </c>
      <c r="AF20" s="1">
        <v>0</v>
      </c>
      <c r="AG20" s="54">
        <v>113960.92</v>
      </c>
      <c r="AH20" s="1">
        <v>0.96</v>
      </c>
      <c r="AI20" s="1">
        <v>0</v>
      </c>
      <c r="AJ20" s="54">
        <v>1093.6199999999999</v>
      </c>
      <c r="AK20" s="54">
        <v>159487.1</v>
      </c>
      <c r="AL20" s="54">
        <v>50688</v>
      </c>
      <c r="AM20" s="54">
        <v>2316641.0499999998</v>
      </c>
      <c r="AN20" s="54">
        <v>73372.800000000003</v>
      </c>
      <c r="AO20" s="54">
        <v>34990</v>
      </c>
      <c r="AP20" s="54">
        <v>159487.1</v>
      </c>
      <c r="AQ20" s="54">
        <v>2195536.75</v>
      </c>
      <c r="AR20" s="54">
        <v>340</v>
      </c>
      <c r="AS20" s="54">
        <v>6457.4610290000001</v>
      </c>
      <c r="AT20" s="54">
        <v>6489.7483350000002</v>
      </c>
      <c r="AU20" s="54">
        <v>2167575.9440000001</v>
      </c>
      <c r="AV20" s="54">
        <v>50688</v>
      </c>
      <c r="AW20" s="54">
        <v>159487.1</v>
      </c>
      <c r="AX20" s="54">
        <v>2377751.04</v>
      </c>
      <c r="AY20" s="54">
        <v>17033.2</v>
      </c>
      <c r="AZ20" s="54">
        <v>2377751.04</v>
      </c>
      <c r="BA20" s="54">
        <v>4014.68</v>
      </c>
      <c r="BB20" s="28">
        <v>8587.59</v>
      </c>
      <c r="BC20" s="54">
        <v>1128.92</v>
      </c>
      <c r="BD20" s="54">
        <v>1008.68</v>
      </c>
      <c r="BE20" s="54">
        <v>2939.2</v>
      </c>
      <c r="BF20" s="54">
        <v>8717.4</v>
      </c>
      <c r="BG20" s="54">
        <v>26396.47</v>
      </c>
      <c r="BH20" s="55">
        <v>340</v>
      </c>
      <c r="BI20" s="55">
        <v>1569780</v>
      </c>
      <c r="BJ20" s="55">
        <v>0</v>
      </c>
      <c r="BK20" s="55">
        <v>0</v>
      </c>
      <c r="BL20" s="55">
        <v>89026.08</v>
      </c>
      <c r="BM20" s="55">
        <v>134948.59</v>
      </c>
      <c r="BN20" s="55">
        <v>9023.85</v>
      </c>
      <c r="BO20" s="55">
        <v>37950.6</v>
      </c>
      <c r="BP20" s="55">
        <v>36095.279999999999</v>
      </c>
      <c r="BQ20" s="55">
        <v>33099.440000000002</v>
      </c>
      <c r="BR20" s="55">
        <v>32136.55</v>
      </c>
      <c r="BS20" s="55">
        <v>3186.32</v>
      </c>
      <c r="BT20" s="55">
        <v>74561.279999999999</v>
      </c>
      <c r="BU20" s="55">
        <v>106740.13</v>
      </c>
      <c r="BV20" s="55">
        <v>2921.18</v>
      </c>
      <c r="BW20" s="55">
        <v>152181.76000000001</v>
      </c>
      <c r="BX20" s="55">
        <v>34990</v>
      </c>
      <c r="BY20" s="55">
        <v>0</v>
      </c>
      <c r="BZ20" s="55">
        <v>2316641.0499999998</v>
      </c>
      <c r="CA20" s="54">
        <v>48103.199999999997</v>
      </c>
      <c r="CB20" s="54">
        <v>0</v>
      </c>
      <c r="CC20" s="54">
        <v>0</v>
      </c>
      <c r="CD20" s="54">
        <v>19660.349999999999</v>
      </c>
      <c r="CE20" s="54">
        <v>5362.01</v>
      </c>
      <c r="CF20" s="28">
        <v>0</v>
      </c>
      <c r="CG20" s="54">
        <v>22012</v>
      </c>
      <c r="CH20" s="54">
        <v>11600</v>
      </c>
      <c r="CI20" s="54">
        <v>7838</v>
      </c>
      <c r="CJ20" s="54">
        <v>0</v>
      </c>
      <c r="CK20" s="54"/>
      <c r="CL20" s="54"/>
      <c r="CM20" s="54"/>
      <c r="CN20" s="54"/>
      <c r="CO20" s="54"/>
      <c r="CP20" s="54"/>
      <c r="CQ20" s="54"/>
      <c r="CR20" s="54"/>
    </row>
    <row r="21" spans="1:96">
      <c r="A21" s="1">
        <v>2042592</v>
      </c>
      <c r="B21" s="1" t="s">
        <v>340</v>
      </c>
      <c r="C21" s="1" t="s">
        <v>322</v>
      </c>
      <c r="D21" s="1" t="s">
        <v>14</v>
      </c>
      <c r="E21" s="1">
        <v>192</v>
      </c>
      <c r="F21" s="1">
        <v>0</v>
      </c>
      <c r="G21" s="1">
        <v>0</v>
      </c>
      <c r="H21" s="54">
        <v>912097.92</v>
      </c>
      <c r="I21" s="1">
        <v>123</v>
      </c>
      <c r="J21" s="1">
        <v>0</v>
      </c>
      <c r="K21" s="54">
        <v>71519.58</v>
      </c>
      <c r="L21" s="1">
        <v>124</v>
      </c>
      <c r="M21" s="1">
        <v>0</v>
      </c>
      <c r="N21" s="54">
        <v>120659.44</v>
      </c>
      <c r="O21" s="1">
        <v>2</v>
      </c>
      <c r="P21" s="1">
        <v>34</v>
      </c>
      <c r="Q21" s="1">
        <v>49</v>
      </c>
      <c r="R21" s="1">
        <v>74</v>
      </c>
      <c r="S21" s="1">
        <v>30</v>
      </c>
      <c r="T21" s="1">
        <v>1</v>
      </c>
      <c r="U21" s="1">
        <v>0</v>
      </c>
      <c r="V21" s="1">
        <v>0</v>
      </c>
      <c r="W21" s="1">
        <v>0</v>
      </c>
      <c r="X21" s="1">
        <v>0</v>
      </c>
      <c r="Y21" s="1">
        <v>0</v>
      </c>
      <c r="Z21" s="1">
        <v>0</v>
      </c>
      <c r="AA21" s="54">
        <v>99661.53</v>
      </c>
      <c r="AB21" s="1">
        <v>44.487804879999999</v>
      </c>
      <c r="AC21" s="1">
        <v>0</v>
      </c>
      <c r="AD21" s="54">
        <v>31147.25</v>
      </c>
      <c r="AE21" s="1">
        <v>47.482939039999998</v>
      </c>
      <c r="AF21" s="1">
        <v>0</v>
      </c>
      <c r="AG21" s="54">
        <v>65924.84</v>
      </c>
      <c r="AH21" s="1">
        <v>0</v>
      </c>
      <c r="AI21" s="1">
        <v>0</v>
      </c>
      <c r="AJ21" s="54">
        <v>0</v>
      </c>
      <c r="AK21" s="54">
        <v>159487.1</v>
      </c>
      <c r="AL21" s="54">
        <v>63840</v>
      </c>
      <c r="AM21" s="54">
        <v>1403442.01</v>
      </c>
      <c r="AN21" s="54">
        <v>44606.96</v>
      </c>
      <c r="AO21" s="54">
        <v>66745</v>
      </c>
      <c r="AP21" s="54">
        <v>159487.1</v>
      </c>
      <c r="AQ21" s="54">
        <v>1221816.8700000001</v>
      </c>
      <c r="AR21" s="54">
        <v>183</v>
      </c>
      <c r="AS21" s="54">
        <v>6676.5949179999998</v>
      </c>
      <c r="AT21" s="54">
        <v>6709.9778930000002</v>
      </c>
      <c r="AU21" s="54">
        <v>1288315.7549999999</v>
      </c>
      <c r="AV21" s="54">
        <v>63840</v>
      </c>
      <c r="AW21" s="54">
        <v>159487.1</v>
      </c>
      <c r="AX21" s="54">
        <v>1511642.86</v>
      </c>
      <c r="AY21" s="54">
        <v>0</v>
      </c>
      <c r="AZ21" s="54">
        <v>1524337.65</v>
      </c>
      <c r="BA21" s="54">
        <v>2307.84</v>
      </c>
      <c r="BB21" s="28">
        <v>3825.95</v>
      </c>
      <c r="BC21" s="54">
        <v>648.96</v>
      </c>
      <c r="BD21" s="54">
        <v>579.84</v>
      </c>
      <c r="BE21" s="54">
        <v>1689.6</v>
      </c>
      <c r="BF21" s="54">
        <v>5011.2</v>
      </c>
      <c r="BG21" s="54">
        <v>14063.39</v>
      </c>
      <c r="BH21" s="55">
        <v>183</v>
      </c>
      <c r="BI21" s="55">
        <v>844911</v>
      </c>
      <c r="BJ21" s="55">
        <v>0</v>
      </c>
      <c r="BK21" s="55">
        <v>0</v>
      </c>
      <c r="BL21" s="55">
        <v>59350.720000000001</v>
      </c>
      <c r="BM21" s="55">
        <v>90524.52</v>
      </c>
      <c r="BN21" s="55">
        <v>0</v>
      </c>
      <c r="BO21" s="55">
        <v>13981.8</v>
      </c>
      <c r="BP21" s="55">
        <v>23540.400000000001</v>
      </c>
      <c r="BQ21" s="55">
        <v>37664.879999999997</v>
      </c>
      <c r="BR21" s="55">
        <v>17584.150000000001</v>
      </c>
      <c r="BS21" s="55">
        <v>0</v>
      </c>
      <c r="BT21" s="55">
        <v>36290.31</v>
      </c>
      <c r="BU21" s="55">
        <v>60667.47</v>
      </c>
      <c r="BV21" s="55">
        <v>0</v>
      </c>
      <c r="BW21" s="55">
        <v>152181.76000000001</v>
      </c>
      <c r="BX21" s="55">
        <v>66745</v>
      </c>
      <c r="BY21" s="55">
        <v>0</v>
      </c>
      <c r="BZ21" s="55">
        <v>1403442.01</v>
      </c>
      <c r="CA21" s="54">
        <v>25890.84</v>
      </c>
      <c r="CB21" s="54">
        <v>0</v>
      </c>
      <c r="CC21" s="54">
        <v>0</v>
      </c>
      <c r="CD21" s="54">
        <v>13354.2</v>
      </c>
      <c r="CE21" s="54">
        <v>5362.01</v>
      </c>
      <c r="CF21" s="28">
        <v>10</v>
      </c>
      <c r="CG21" s="54">
        <v>13412</v>
      </c>
      <c r="CH21" s="54">
        <v>8852</v>
      </c>
      <c r="CI21" s="54">
        <v>7308</v>
      </c>
      <c r="CJ21" s="54">
        <v>2992</v>
      </c>
      <c r="CK21" s="54"/>
      <c r="CL21" s="54"/>
      <c r="CM21" s="54"/>
      <c r="CN21" s="54"/>
      <c r="CO21" s="54"/>
      <c r="CP21" s="54"/>
      <c r="CQ21" s="54"/>
      <c r="CR21" s="54"/>
    </row>
    <row r="22" spans="1:96">
      <c r="A22" s="1">
        <v>2042615</v>
      </c>
      <c r="B22" s="1" t="s">
        <v>341</v>
      </c>
      <c r="C22" s="1" t="s">
        <v>322</v>
      </c>
      <c r="D22" s="1" t="s">
        <v>14</v>
      </c>
      <c r="E22" s="1">
        <v>243</v>
      </c>
      <c r="F22" s="1">
        <v>0</v>
      </c>
      <c r="G22" s="1">
        <v>0</v>
      </c>
      <c r="H22" s="54">
        <v>1154373.93</v>
      </c>
      <c r="I22" s="1">
        <v>128</v>
      </c>
      <c r="J22" s="1">
        <v>0</v>
      </c>
      <c r="K22" s="54">
        <v>74426.880000000005</v>
      </c>
      <c r="L22" s="1">
        <v>130</v>
      </c>
      <c r="M22" s="1">
        <v>0</v>
      </c>
      <c r="N22" s="54">
        <v>126497.8</v>
      </c>
      <c r="O22" s="1">
        <v>37</v>
      </c>
      <c r="P22" s="1">
        <v>29</v>
      </c>
      <c r="Q22" s="1">
        <v>47</v>
      </c>
      <c r="R22" s="1">
        <v>19</v>
      </c>
      <c r="S22" s="1">
        <v>15</v>
      </c>
      <c r="T22" s="1">
        <v>2</v>
      </c>
      <c r="U22" s="1">
        <v>0</v>
      </c>
      <c r="V22" s="1">
        <v>0</v>
      </c>
      <c r="W22" s="1">
        <v>0</v>
      </c>
      <c r="X22" s="1">
        <v>0</v>
      </c>
      <c r="Y22" s="1">
        <v>0</v>
      </c>
      <c r="Z22" s="1">
        <v>0</v>
      </c>
      <c r="AA22" s="54">
        <v>66660.69</v>
      </c>
      <c r="AB22" s="1">
        <v>60.48</v>
      </c>
      <c r="AC22" s="1">
        <v>0</v>
      </c>
      <c r="AD22" s="54">
        <v>42343.86</v>
      </c>
      <c r="AE22" s="1">
        <v>91.976635509999994</v>
      </c>
      <c r="AF22" s="1">
        <v>0</v>
      </c>
      <c r="AG22" s="54">
        <v>127699.44</v>
      </c>
      <c r="AH22" s="1">
        <v>1.42</v>
      </c>
      <c r="AI22" s="1">
        <v>0</v>
      </c>
      <c r="AJ22" s="54">
        <v>1617.65</v>
      </c>
      <c r="AK22" s="54">
        <v>159487.1</v>
      </c>
      <c r="AL22" s="54">
        <v>40448</v>
      </c>
      <c r="AM22" s="54">
        <v>1890098.03</v>
      </c>
      <c r="AN22" s="54">
        <v>60307.8</v>
      </c>
      <c r="AO22" s="54">
        <v>32901</v>
      </c>
      <c r="AP22" s="54">
        <v>159487.1</v>
      </c>
      <c r="AQ22" s="54">
        <v>1758017.73</v>
      </c>
      <c r="AR22" s="54">
        <v>273</v>
      </c>
      <c r="AS22" s="54">
        <v>6439.6253850000003</v>
      </c>
      <c r="AT22" s="54">
        <v>6471.8235119999999</v>
      </c>
      <c r="AU22" s="54">
        <v>1572653.1129999999</v>
      </c>
      <c r="AV22" s="54">
        <v>40448</v>
      </c>
      <c r="AW22" s="54">
        <v>159487.1</v>
      </c>
      <c r="AX22" s="54">
        <v>1772588.21</v>
      </c>
      <c r="AY22" s="54">
        <v>0</v>
      </c>
      <c r="AZ22" s="54">
        <v>1793555.35</v>
      </c>
      <c r="BA22" s="54">
        <v>2920.86</v>
      </c>
      <c r="BB22" s="28">
        <v>5201.28</v>
      </c>
      <c r="BC22" s="54">
        <v>821.34</v>
      </c>
      <c r="BD22" s="54">
        <v>733.86</v>
      </c>
      <c r="BE22" s="54">
        <v>2138.4</v>
      </c>
      <c r="BF22" s="54">
        <v>6342.3</v>
      </c>
      <c r="BG22" s="54">
        <v>18158.04</v>
      </c>
      <c r="BH22" s="55">
        <v>273</v>
      </c>
      <c r="BI22" s="55">
        <v>1260441</v>
      </c>
      <c r="BJ22" s="55">
        <v>0</v>
      </c>
      <c r="BK22" s="55">
        <v>0</v>
      </c>
      <c r="BL22" s="55">
        <v>73047.039999999994</v>
      </c>
      <c r="BM22" s="55">
        <v>110641.08</v>
      </c>
      <c r="BN22" s="55">
        <v>10391.1</v>
      </c>
      <c r="BO22" s="55">
        <v>11318.6</v>
      </c>
      <c r="BP22" s="55">
        <v>30340.959999999999</v>
      </c>
      <c r="BQ22" s="55">
        <v>9701.56</v>
      </c>
      <c r="BR22" s="55">
        <v>10307.950000000001</v>
      </c>
      <c r="BS22" s="55">
        <v>1593.16</v>
      </c>
      <c r="BT22" s="55">
        <v>55231.14</v>
      </c>
      <c r="BU22" s="55">
        <v>130699.91</v>
      </c>
      <c r="BV22" s="55">
        <v>0</v>
      </c>
      <c r="BW22" s="55">
        <v>152181.76000000001</v>
      </c>
      <c r="BX22" s="55">
        <v>32901</v>
      </c>
      <c r="BY22" s="55">
        <v>1301.77</v>
      </c>
      <c r="BZ22" s="55">
        <v>1890098.03</v>
      </c>
      <c r="CA22" s="54">
        <v>38624.04</v>
      </c>
      <c r="CB22" s="54">
        <v>0</v>
      </c>
      <c r="CC22" s="54">
        <v>0</v>
      </c>
      <c r="CD22" s="54">
        <v>15950.85</v>
      </c>
      <c r="CE22" s="54">
        <v>5362.01</v>
      </c>
      <c r="CF22" s="28">
        <v>10</v>
      </c>
      <c r="CG22" s="54">
        <v>18038</v>
      </c>
      <c r="CH22" s="54">
        <v>10460</v>
      </c>
      <c r="CI22" s="54">
        <v>7688</v>
      </c>
      <c r="CJ22" s="54">
        <v>15080</v>
      </c>
      <c r="CK22" s="54"/>
      <c r="CL22" s="54"/>
      <c r="CM22" s="54"/>
      <c r="CN22" s="54"/>
      <c r="CO22" s="54"/>
      <c r="CP22" s="54"/>
      <c r="CQ22" s="54"/>
      <c r="CR22" s="54"/>
    </row>
    <row r="23" spans="1:96">
      <c r="A23" s="1">
        <v>2042636</v>
      </c>
      <c r="B23" s="1" t="s">
        <v>342</v>
      </c>
      <c r="C23" s="1" t="s">
        <v>322</v>
      </c>
      <c r="D23" s="1" t="s">
        <v>14</v>
      </c>
      <c r="E23" s="1">
        <v>397</v>
      </c>
      <c r="F23" s="1">
        <v>0</v>
      </c>
      <c r="G23" s="1">
        <v>0</v>
      </c>
      <c r="H23" s="54">
        <v>1885952.47</v>
      </c>
      <c r="I23" s="1">
        <v>210</v>
      </c>
      <c r="J23" s="1">
        <v>0</v>
      </c>
      <c r="K23" s="54">
        <v>122106.6</v>
      </c>
      <c r="L23" s="1">
        <v>213</v>
      </c>
      <c r="M23" s="1">
        <v>0</v>
      </c>
      <c r="N23" s="54">
        <v>207261.78</v>
      </c>
      <c r="O23" s="1">
        <v>7</v>
      </c>
      <c r="P23" s="1">
        <v>112</v>
      </c>
      <c r="Q23" s="1">
        <v>78</v>
      </c>
      <c r="R23" s="1">
        <v>107</v>
      </c>
      <c r="S23" s="1">
        <v>69</v>
      </c>
      <c r="T23" s="1">
        <v>13</v>
      </c>
      <c r="U23" s="1">
        <v>0</v>
      </c>
      <c r="V23" s="1">
        <v>0</v>
      </c>
      <c r="W23" s="1">
        <v>0</v>
      </c>
      <c r="X23" s="1">
        <v>0</v>
      </c>
      <c r="Y23" s="1">
        <v>0</v>
      </c>
      <c r="Z23" s="1">
        <v>0</v>
      </c>
      <c r="AA23" s="54">
        <v>195258.94</v>
      </c>
      <c r="AB23" s="1">
        <v>69.29881657</v>
      </c>
      <c r="AC23" s="1">
        <v>0</v>
      </c>
      <c r="AD23" s="54">
        <v>48518.18</v>
      </c>
      <c r="AE23" s="1">
        <v>150.44088360000001</v>
      </c>
      <c r="AF23" s="1">
        <v>0</v>
      </c>
      <c r="AG23" s="54">
        <v>208870.62</v>
      </c>
      <c r="AH23" s="1">
        <v>0.18</v>
      </c>
      <c r="AI23" s="1">
        <v>0</v>
      </c>
      <c r="AJ23" s="54">
        <v>205.05</v>
      </c>
      <c r="AK23" s="54">
        <v>159487.1</v>
      </c>
      <c r="AL23" s="54">
        <v>43776</v>
      </c>
      <c r="AM23" s="54">
        <v>2704069.57</v>
      </c>
      <c r="AN23" s="54">
        <v>84933.83</v>
      </c>
      <c r="AO23" s="54">
        <v>31596</v>
      </c>
      <c r="AP23" s="54">
        <v>159487.1</v>
      </c>
      <c r="AQ23" s="54">
        <v>2597920.2999999998</v>
      </c>
      <c r="AR23" s="54">
        <v>392</v>
      </c>
      <c r="AS23" s="54">
        <v>6627.3477039999998</v>
      </c>
      <c r="AT23" s="54">
        <v>6660.4844430000003</v>
      </c>
      <c r="AU23" s="54">
        <v>2644212.324</v>
      </c>
      <c r="AV23" s="54">
        <v>43776</v>
      </c>
      <c r="AW23" s="54">
        <v>159487.1</v>
      </c>
      <c r="AX23" s="54">
        <v>2847475.42</v>
      </c>
      <c r="AY23" s="54">
        <v>0</v>
      </c>
      <c r="AZ23" s="54">
        <v>2871436.74</v>
      </c>
      <c r="BA23" s="54">
        <v>4771.9399999999996</v>
      </c>
      <c r="BB23" s="28">
        <v>5959.7</v>
      </c>
      <c r="BC23" s="54">
        <v>1341.86</v>
      </c>
      <c r="BD23" s="54">
        <v>1198.94</v>
      </c>
      <c r="BE23" s="54">
        <v>3493.6</v>
      </c>
      <c r="BF23" s="54">
        <v>10361.700000000001</v>
      </c>
      <c r="BG23" s="54">
        <v>27127.74</v>
      </c>
      <c r="BH23" s="55">
        <v>392</v>
      </c>
      <c r="BI23" s="55">
        <v>1809864</v>
      </c>
      <c r="BJ23" s="55">
        <v>0</v>
      </c>
      <c r="BK23" s="55">
        <v>0</v>
      </c>
      <c r="BL23" s="55">
        <v>110711.92</v>
      </c>
      <c r="BM23" s="55">
        <v>163447.04999999999</v>
      </c>
      <c r="BN23" s="55">
        <v>2187.6</v>
      </c>
      <c r="BO23" s="55">
        <v>39282.199999999997</v>
      </c>
      <c r="BP23" s="55">
        <v>45511.44</v>
      </c>
      <c r="BQ23" s="55">
        <v>52502.559999999998</v>
      </c>
      <c r="BR23" s="55">
        <v>38806.400000000001</v>
      </c>
      <c r="BS23" s="55">
        <v>7965.8</v>
      </c>
      <c r="BT23" s="55">
        <v>41958.79</v>
      </c>
      <c r="BU23" s="55">
        <v>193401.66</v>
      </c>
      <c r="BV23" s="55">
        <v>0</v>
      </c>
      <c r="BW23" s="55">
        <v>152181.76000000001</v>
      </c>
      <c r="BX23" s="55">
        <v>31596</v>
      </c>
      <c r="BY23" s="55">
        <v>14652.39</v>
      </c>
      <c r="BZ23" s="55">
        <v>2704069.57</v>
      </c>
      <c r="CA23" s="54">
        <v>55460.160000000003</v>
      </c>
      <c r="CB23" s="54">
        <v>0</v>
      </c>
      <c r="CC23" s="54">
        <v>0</v>
      </c>
      <c r="CD23" s="54">
        <v>24111.75</v>
      </c>
      <c r="CE23" s="54">
        <v>5362.01</v>
      </c>
      <c r="CF23" s="28">
        <v>10</v>
      </c>
      <c r="CG23" s="54">
        <v>25564</v>
      </c>
      <c r="CH23" s="54">
        <v>15227.5</v>
      </c>
      <c r="CI23" s="54">
        <v>8033</v>
      </c>
      <c r="CJ23" s="54">
        <v>15080</v>
      </c>
      <c r="CK23" s="54"/>
      <c r="CL23" s="54"/>
      <c r="CM23" s="54"/>
      <c r="CN23" s="54"/>
      <c r="CO23" s="54"/>
      <c r="CP23" s="54"/>
      <c r="CQ23" s="54"/>
      <c r="CR23" s="54"/>
    </row>
    <row r="24" spans="1:96">
      <c r="A24" s="1">
        <v>2042654</v>
      </c>
      <c r="B24" s="1" t="s">
        <v>343</v>
      </c>
      <c r="C24" s="1" t="s">
        <v>322</v>
      </c>
      <c r="D24" s="1" t="s">
        <v>14</v>
      </c>
      <c r="E24" s="1">
        <v>588</v>
      </c>
      <c r="F24" s="1">
        <v>0</v>
      </c>
      <c r="G24" s="1">
        <v>0</v>
      </c>
      <c r="H24" s="54">
        <v>2793299.88</v>
      </c>
      <c r="I24" s="1">
        <v>282</v>
      </c>
      <c r="J24" s="1">
        <v>0</v>
      </c>
      <c r="K24" s="54">
        <v>163971.72</v>
      </c>
      <c r="L24" s="1">
        <v>286</v>
      </c>
      <c r="M24" s="1">
        <v>0</v>
      </c>
      <c r="N24" s="54">
        <v>278295.15999999997</v>
      </c>
      <c r="O24" s="1">
        <v>49.083475300000003</v>
      </c>
      <c r="P24" s="1">
        <v>32.054514480000002</v>
      </c>
      <c r="Q24" s="1">
        <v>45.076660990000001</v>
      </c>
      <c r="R24" s="1">
        <v>148.2521295</v>
      </c>
      <c r="S24" s="1">
        <v>153.26064740000001</v>
      </c>
      <c r="T24" s="1">
        <v>134.22827939999999</v>
      </c>
      <c r="U24" s="1">
        <v>0</v>
      </c>
      <c r="V24" s="1">
        <v>0</v>
      </c>
      <c r="W24" s="1">
        <v>0</v>
      </c>
      <c r="X24" s="1">
        <v>0</v>
      </c>
      <c r="Y24" s="1">
        <v>0</v>
      </c>
      <c r="Z24" s="1">
        <v>0</v>
      </c>
      <c r="AA24" s="54">
        <v>335630.48</v>
      </c>
      <c r="AB24" s="1">
        <v>197.95219119999999</v>
      </c>
      <c r="AC24" s="1">
        <v>0</v>
      </c>
      <c r="AD24" s="54">
        <v>138592.26999999999</v>
      </c>
      <c r="AE24" s="1">
        <v>149.85530220000001</v>
      </c>
      <c r="AF24" s="1">
        <v>0</v>
      </c>
      <c r="AG24" s="54">
        <v>208057.60000000001</v>
      </c>
      <c r="AH24" s="1">
        <v>24.822214649999999</v>
      </c>
      <c r="AI24" s="1">
        <v>0</v>
      </c>
      <c r="AJ24" s="54">
        <v>28277.22</v>
      </c>
      <c r="AK24" s="54">
        <v>159487.1</v>
      </c>
      <c r="AL24" s="54">
        <v>66500</v>
      </c>
      <c r="AM24" s="54">
        <v>4007818.03</v>
      </c>
      <c r="AN24" s="54">
        <v>124957.52</v>
      </c>
      <c r="AO24" s="54">
        <v>48566</v>
      </c>
      <c r="AP24" s="54">
        <v>159487.1</v>
      </c>
      <c r="AQ24" s="54">
        <v>3924722.45</v>
      </c>
      <c r="AR24" s="54">
        <v>584</v>
      </c>
      <c r="AS24" s="54">
        <v>6720.4151540000003</v>
      </c>
      <c r="AT24" s="54">
        <v>6754.0172300000004</v>
      </c>
      <c r="AU24" s="54">
        <v>3971362.1310000001</v>
      </c>
      <c r="AV24" s="54">
        <v>66500</v>
      </c>
      <c r="AW24" s="54">
        <v>159487.1</v>
      </c>
      <c r="AX24" s="54">
        <v>4197349.2300000004</v>
      </c>
      <c r="AY24" s="54">
        <v>25237.8</v>
      </c>
      <c r="AZ24" s="54">
        <v>4197349.2300000004</v>
      </c>
      <c r="BA24" s="54">
        <v>7067.76</v>
      </c>
      <c r="BB24" s="28">
        <v>17023.89</v>
      </c>
      <c r="BC24" s="54">
        <v>1987.44</v>
      </c>
      <c r="BD24" s="54">
        <v>1775.76</v>
      </c>
      <c r="BE24" s="54">
        <v>5174.3999999999996</v>
      </c>
      <c r="BF24" s="54">
        <v>15346.8</v>
      </c>
      <c r="BG24" s="54">
        <v>48376.05</v>
      </c>
      <c r="BH24" s="55">
        <v>584</v>
      </c>
      <c r="BI24" s="55">
        <v>2696328</v>
      </c>
      <c r="BJ24" s="55">
        <v>0</v>
      </c>
      <c r="BK24" s="55">
        <v>0</v>
      </c>
      <c r="BL24" s="55">
        <v>167209.24</v>
      </c>
      <c r="BM24" s="55">
        <v>250618.81</v>
      </c>
      <c r="BN24" s="55">
        <v>14517.71</v>
      </c>
      <c r="BO24" s="55">
        <v>9003.7199999999993</v>
      </c>
      <c r="BP24" s="55">
        <v>24628.81</v>
      </c>
      <c r="BQ24" s="55">
        <v>82318.880000000005</v>
      </c>
      <c r="BR24" s="55">
        <v>92930.68</v>
      </c>
      <c r="BS24" s="55">
        <v>107722.76</v>
      </c>
      <c r="BT24" s="55">
        <v>137177.73000000001</v>
      </c>
      <c r="BU24" s="55">
        <v>212211.4</v>
      </c>
      <c r="BV24" s="55">
        <v>12402.54</v>
      </c>
      <c r="BW24" s="55">
        <v>152181.76000000001</v>
      </c>
      <c r="BX24" s="55">
        <v>48566</v>
      </c>
      <c r="BY24" s="55">
        <v>0</v>
      </c>
      <c r="BZ24" s="55">
        <v>4007818.03</v>
      </c>
      <c r="CA24" s="54">
        <v>82624.320000000007</v>
      </c>
      <c r="CB24" s="54">
        <v>0</v>
      </c>
      <c r="CC24" s="54">
        <v>0</v>
      </c>
      <c r="CD24" s="54">
        <v>36476.75</v>
      </c>
      <c r="CE24" s="54">
        <v>5362.01</v>
      </c>
      <c r="CF24" s="28">
        <v>0</v>
      </c>
      <c r="CG24" s="54">
        <v>37468</v>
      </c>
      <c r="CH24" s="54">
        <v>21387.75</v>
      </c>
      <c r="CI24" s="54">
        <v>8758</v>
      </c>
      <c r="CJ24" s="54">
        <v>0</v>
      </c>
      <c r="CK24" s="54"/>
      <c r="CL24" s="54"/>
      <c r="CM24" s="54"/>
      <c r="CN24" s="54"/>
      <c r="CO24" s="54"/>
      <c r="CP24" s="54"/>
      <c r="CQ24" s="54"/>
      <c r="CR24" s="54"/>
    </row>
    <row r="25" spans="1:96">
      <c r="A25" s="1">
        <v>2042779</v>
      </c>
      <c r="B25" s="1" t="s">
        <v>344</v>
      </c>
      <c r="C25" s="1" t="s">
        <v>322</v>
      </c>
      <c r="D25" s="1" t="s">
        <v>14</v>
      </c>
      <c r="E25" s="1">
        <v>198</v>
      </c>
      <c r="F25" s="1">
        <v>0</v>
      </c>
      <c r="G25" s="1">
        <v>0</v>
      </c>
      <c r="H25" s="54">
        <v>940600.98</v>
      </c>
      <c r="I25" s="1">
        <v>107</v>
      </c>
      <c r="J25" s="1">
        <v>0</v>
      </c>
      <c r="K25" s="54">
        <v>62216.22</v>
      </c>
      <c r="L25" s="1">
        <v>111</v>
      </c>
      <c r="M25" s="1">
        <v>0</v>
      </c>
      <c r="N25" s="54">
        <v>108009.66</v>
      </c>
      <c r="O25" s="1">
        <v>5</v>
      </c>
      <c r="P25" s="1">
        <v>21</v>
      </c>
      <c r="Q25" s="1">
        <v>4</v>
      </c>
      <c r="R25" s="1">
        <v>84</v>
      </c>
      <c r="S25" s="1">
        <v>12</v>
      </c>
      <c r="T25" s="1">
        <v>69</v>
      </c>
      <c r="U25" s="1">
        <v>0</v>
      </c>
      <c r="V25" s="1">
        <v>0</v>
      </c>
      <c r="W25" s="1">
        <v>0</v>
      </c>
      <c r="X25" s="1">
        <v>0</v>
      </c>
      <c r="Y25" s="1">
        <v>0</v>
      </c>
      <c r="Z25" s="1">
        <v>0</v>
      </c>
      <c r="AA25" s="54">
        <v>121965.04</v>
      </c>
      <c r="AB25" s="1">
        <v>63.266272190000002</v>
      </c>
      <c r="AC25" s="1">
        <v>0</v>
      </c>
      <c r="AD25" s="54">
        <v>44294.62</v>
      </c>
      <c r="AE25" s="1">
        <v>40.485365850000001</v>
      </c>
      <c r="AF25" s="1">
        <v>0</v>
      </c>
      <c r="AG25" s="54">
        <v>56209.48</v>
      </c>
      <c r="AH25" s="1">
        <v>4.12</v>
      </c>
      <c r="AI25" s="1">
        <v>0</v>
      </c>
      <c r="AJ25" s="54">
        <v>4693.46</v>
      </c>
      <c r="AK25" s="54">
        <v>159487.1</v>
      </c>
      <c r="AL25" s="54">
        <v>31686.5</v>
      </c>
      <c r="AM25" s="54">
        <v>1523656.04</v>
      </c>
      <c r="AN25" s="54">
        <v>48690.89</v>
      </c>
      <c r="AO25" s="54">
        <v>22395</v>
      </c>
      <c r="AP25" s="54">
        <v>159487.1</v>
      </c>
      <c r="AQ25" s="54">
        <v>1390464.83</v>
      </c>
      <c r="AR25" s="54">
        <v>204</v>
      </c>
      <c r="AS25" s="54">
        <v>6816.0040689999996</v>
      </c>
      <c r="AT25" s="54">
        <v>6850.0840889999999</v>
      </c>
      <c r="AU25" s="54">
        <v>1356316.65</v>
      </c>
      <c r="AV25" s="54">
        <v>31686.5</v>
      </c>
      <c r="AW25" s="54">
        <v>159487.1</v>
      </c>
      <c r="AX25" s="54">
        <v>1547490.25</v>
      </c>
      <c r="AY25" s="54">
        <v>18327.189999999999</v>
      </c>
      <c r="AZ25" s="54">
        <v>1547490.25</v>
      </c>
      <c r="BA25" s="54">
        <v>2379.96</v>
      </c>
      <c r="BB25" s="28">
        <v>5440.9</v>
      </c>
      <c r="BC25" s="54">
        <v>669.24</v>
      </c>
      <c r="BD25" s="54">
        <v>597.96</v>
      </c>
      <c r="BE25" s="54">
        <v>1742.4</v>
      </c>
      <c r="BF25" s="54">
        <v>5167.8</v>
      </c>
      <c r="BG25" s="54">
        <v>15998.260000000002</v>
      </c>
      <c r="BH25" s="55">
        <v>204</v>
      </c>
      <c r="BI25" s="55">
        <v>941868</v>
      </c>
      <c r="BJ25" s="55">
        <v>0</v>
      </c>
      <c r="BK25" s="55">
        <v>0</v>
      </c>
      <c r="BL25" s="55">
        <v>61633.440000000002</v>
      </c>
      <c r="BM25" s="55">
        <v>98068.23</v>
      </c>
      <c r="BN25" s="55">
        <v>1640.7</v>
      </c>
      <c r="BO25" s="55">
        <v>8322.5</v>
      </c>
      <c r="BP25" s="55">
        <v>2092.48</v>
      </c>
      <c r="BQ25" s="55">
        <v>43942.36</v>
      </c>
      <c r="BR25" s="55">
        <v>7882.55</v>
      </c>
      <c r="BS25" s="55">
        <v>60540.08</v>
      </c>
      <c r="BT25" s="55">
        <v>44465.38</v>
      </c>
      <c r="BU25" s="55">
        <v>58270.68</v>
      </c>
      <c r="BV25" s="55">
        <v>0</v>
      </c>
      <c r="BW25" s="55">
        <v>152181.76000000001</v>
      </c>
      <c r="BX25" s="55">
        <v>22395</v>
      </c>
      <c r="BY25" s="55">
        <v>20352.88</v>
      </c>
      <c r="BZ25" s="55">
        <v>1523656.04</v>
      </c>
      <c r="CA25" s="54">
        <v>28861.919999999998</v>
      </c>
      <c r="CB25" s="54">
        <v>0</v>
      </c>
      <c r="CC25" s="54">
        <v>0</v>
      </c>
      <c r="CD25" s="54">
        <v>14096.1</v>
      </c>
      <c r="CE25" s="54">
        <v>5362.01</v>
      </c>
      <c r="CF25" s="28">
        <v>0</v>
      </c>
      <c r="CG25" s="54">
        <v>14532</v>
      </c>
      <c r="CH25" s="54">
        <v>8700</v>
      </c>
      <c r="CI25" s="54">
        <v>7388</v>
      </c>
      <c r="CJ25" s="54">
        <v>0</v>
      </c>
      <c r="CK25" s="54"/>
      <c r="CL25" s="54"/>
      <c r="CM25" s="54"/>
      <c r="CN25" s="54"/>
      <c r="CO25" s="54"/>
      <c r="CP25" s="54"/>
      <c r="CQ25" s="54"/>
      <c r="CR25" s="54"/>
    </row>
    <row r="26" spans="1:96">
      <c r="A26" s="1">
        <v>2042795</v>
      </c>
      <c r="B26" s="1" t="s">
        <v>345</v>
      </c>
      <c r="C26" s="1" t="s">
        <v>322</v>
      </c>
      <c r="D26" s="1" t="s">
        <v>14</v>
      </c>
      <c r="E26" s="1">
        <v>196</v>
      </c>
      <c r="F26" s="1">
        <v>0</v>
      </c>
      <c r="G26" s="1">
        <v>0</v>
      </c>
      <c r="H26" s="54">
        <v>931099.96</v>
      </c>
      <c r="I26" s="1">
        <v>90</v>
      </c>
      <c r="J26" s="1">
        <v>0</v>
      </c>
      <c r="K26" s="54">
        <v>52331.4</v>
      </c>
      <c r="L26" s="1">
        <v>90</v>
      </c>
      <c r="M26" s="1">
        <v>0</v>
      </c>
      <c r="N26" s="54">
        <v>87575.4</v>
      </c>
      <c r="O26" s="1">
        <v>23</v>
      </c>
      <c r="P26" s="1">
        <v>28</v>
      </c>
      <c r="Q26" s="1">
        <v>13</v>
      </c>
      <c r="R26" s="1">
        <v>10</v>
      </c>
      <c r="S26" s="1">
        <v>42</v>
      </c>
      <c r="T26" s="1">
        <v>15</v>
      </c>
      <c r="U26" s="1">
        <v>0</v>
      </c>
      <c r="V26" s="1">
        <v>0</v>
      </c>
      <c r="W26" s="1">
        <v>0</v>
      </c>
      <c r="X26" s="1">
        <v>0</v>
      </c>
      <c r="Y26" s="1">
        <v>0</v>
      </c>
      <c r="Z26" s="1">
        <v>0</v>
      </c>
      <c r="AA26" s="54">
        <v>66275.100000000006</v>
      </c>
      <c r="AB26" s="1">
        <v>57.780346819999998</v>
      </c>
      <c r="AC26" s="1">
        <v>0</v>
      </c>
      <c r="AD26" s="54">
        <v>40453.75</v>
      </c>
      <c r="AE26" s="1">
        <v>64.363607189999996</v>
      </c>
      <c r="AF26" s="1">
        <v>0</v>
      </c>
      <c r="AG26" s="54">
        <v>89361.79</v>
      </c>
      <c r="AH26" s="1">
        <v>2.2400000000000002</v>
      </c>
      <c r="AI26" s="1">
        <v>0</v>
      </c>
      <c r="AJ26" s="54">
        <v>2551.79</v>
      </c>
      <c r="AK26" s="54">
        <v>159487.1</v>
      </c>
      <c r="AL26" s="54">
        <v>39424</v>
      </c>
      <c r="AM26" s="54">
        <v>1522625.1</v>
      </c>
      <c r="AN26" s="54">
        <v>47208.31</v>
      </c>
      <c r="AO26" s="54">
        <v>31857</v>
      </c>
      <c r="AP26" s="54">
        <v>159487.1</v>
      </c>
      <c r="AQ26" s="54">
        <v>1378489.31</v>
      </c>
      <c r="AR26" s="54">
        <v>211</v>
      </c>
      <c r="AS26" s="54">
        <v>6533.1246920000003</v>
      </c>
      <c r="AT26" s="54">
        <v>6565.7903150000002</v>
      </c>
      <c r="AU26" s="54">
        <v>1286894.902</v>
      </c>
      <c r="AV26" s="54">
        <v>39424</v>
      </c>
      <c r="AW26" s="54">
        <v>159487.1</v>
      </c>
      <c r="AX26" s="54">
        <v>1485806</v>
      </c>
      <c r="AY26" s="54">
        <v>17245.71</v>
      </c>
      <c r="AZ26" s="54">
        <v>1485806</v>
      </c>
      <c r="BA26" s="54">
        <v>2355.92</v>
      </c>
      <c r="BB26" s="28">
        <v>4969.1099999999997</v>
      </c>
      <c r="BC26" s="54">
        <v>662.48</v>
      </c>
      <c r="BD26" s="54">
        <v>591.91999999999996</v>
      </c>
      <c r="BE26" s="54">
        <v>1724.8</v>
      </c>
      <c r="BF26" s="54">
        <v>5115.6000000000004</v>
      </c>
      <c r="BG26" s="54">
        <v>15419.83</v>
      </c>
      <c r="BH26" s="55">
        <v>211</v>
      </c>
      <c r="BI26" s="55">
        <v>974187</v>
      </c>
      <c r="BJ26" s="55">
        <v>0</v>
      </c>
      <c r="BK26" s="55">
        <v>0</v>
      </c>
      <c r="BL26" s="55">
        <v>54785.279999999999</v>
      </c>
      <c r="BM26" s="55">
        <v>81304.429999999993</v>
      </c>
      <c r="BN26" s="55">
        <v>6836.25</v>
      </c>
      <c r="BO26" s="55">
        <v>9321.2000000000007</v>
      </c>
      <c r="BP26" s="55">
        <v>9416.16</v>
      </c>
      <c r="BQ26" s="55">
        <v>5706.8</v>
      </c>
      <c r="BR26" s="55">
        <v>27285.75</v>
      </c>
      <c r="BS26" s="55">
        <v>15135.02</v>
      </c>
      <c r="BT26" s="55">
        <v>43256.54</v>
      </c>
      <c r="BU26" s="55">
        <v>110969.91</v>
      </c>
      <c r="BV26" s="55">
        <v>382</v>
      </c>
      <c r="BW26" s="55">
        <v>152181.76000000001</v>
      </c>
      <c r="BX26" s="55">
        <v>31857</v>
      </c>
      <c r="BY26" s="55">
        <v>0</v>
      </c>
      <c r="BZ26" s="55">
        <v>1522625.1</v>
      </c>
      <c r="CA26" s="54">
        <v>29852.28</v>
      </c>
      <c r="CB26" s="54">
        <v>0</v>
      </c>
      <c r="CC26" s="54">
        <v>0</v>
      </c>
      <c r="CD26" s="54">
        <v>11994.05</v>
      </c>
      <c r="CE26" s="54">
        <v>5362.01</v>
      </c>
      <c r="CF26" s="28">
        <v>18</v>
      </c>
      <c r="CG26" s="54">
        <v>14205</v>
      </c>
      <c r="CH26" s="54">
        <v>9042.25</v>
      </c>
      <c r="CI26" s="54">
        <v>7442</v>
      </c>
      <c r="CJ26" s="54">
        <v>2992</v>
      </c>
      <c r="CK26" s="54"/>
      <c r="CL26" s="54"/>
      <c r="CM26" s="54"/>
      <c r="CN26" s="54"/>
      <c r="CO26" s="54"/>
      <c r="CP26" s="54"/>
      <c r="CQ26" s="54"/>
      <c r="CR26" s="54"/>
    </row>
    <row r="27" spans="1:96">
      <c r="A27" s="1">
        <v>2042856</v>
      </c>
      <c r="B27" s="1" t="s">
        <v>346</v>
      </c>
      <c r="C27" s="1" t="s">
        <v>322</v>
      </c>
      <c r="D27" s="1" t="s">
        <v>14</v>
      </c>
      <c r="E27" s="1">
        <v>190</v>
      </c>
      <c r="F27" s="1">
        <v>0</v>
      </c>
      <c r="G27" s="1">
        <v>0</v>
      </c>
      <c r="H27" s="54">
        <v>902596.9</v>
      </c>
      <c r="I27" s="1">
        <v>33</v>
      </c>
      <c r="J27" s="1">
        <v>0</v>
      </c>
      <c r="K27" s="54">
        <v>19188.18</v>
      </c>
      <c r="L27" s="1">
        <v>34</v>
      </c>
      <c r="M27" s="1">
        <v>0</v>
      </c>
      <c r="N27" s="54">
        <v>33084.04</v>
      </c>
      <c r="O27" s="1">
        <v>17</v>
      </c>
      <c r="P27" s="1">
        <v>26</v>
      </c>
      <c r="Q27" s="1">
        <v>3</v>
      </c>
      <c r="R27" s="1">
        <v>14</v>
      </c>
      <c r="S27" s="1">
        <v>33</v>
      </c>
      <c r="T27" s="1">
        <v>0</v>
      </c>
      <c r="U27" s="1">
        <v>0</v>
      </c>
      <c r="V27" s="1">
        <v>0</v>
      </c>
      <c r="W27" s="1">
        <v>0</v>
      </c>
      <c r="X27" s="1">
        <v>0</v>
      </c>
      <c r="Y27" s="1">
        <v>0</v>
      </c>
      <c r="Z27" s="1">
        <v>0</v>
      </c>
      <c r="AA27" s="54">
        <v>43342.879999999997</v>
      </c>
      <c r="AB27" s="1">
        <v>38</v>
      </c>
      <c r="AC27" s="1">
        <v>0</v>
      </c>
      <c r="AD27" s="54">
        <v>26604.94</v>
      </c>
      <c r="AE27" s="1">
        <v>45.17777778</v>
      </c>
      <c r="AF27" s="1">
        <v>0</v>
      </c>
      <c r="AG27" s="54">
        <v>62724.37</v>
      </c>
      <c r="AH27" s="1">
        <v>5.6</v>
      </c>
      <c r="AI27" s="1">
        <v>0</v>
      </c>
      <c r="AJ27" s="54">
        <v>6379.46</v>
      </c>
      <c r="AK27" s="54">
        <v>159487.1</v>
      </c>
      <c r="AL27" s="54">
        <v>28692.5</v>
      </c>
      <c r="AM27" s="54">
        <v>1265934.23</v>
      </c>
      <c r="AN27" s="54">
        <v>35775.69</v>
      </c>
      <c r="AO27" s="54">
        <v>21759</v>
      </c>
      <c r="AP27" s="54">
        <v>159487.1</v>
      </c>
      <c r="AQ27" s="54">
        <v>1120463.82</v>
      </c>
      <c r="AR27" s="54">
        <v>187</v>
      </c>
      <c r="AS27" s="54">
        <v>5991.7851339999997</v>
      </c>
      <c r="AT27" s="54">
        <v>6021.7440589999997</v>
      </c>
      <c r="AU27" s="54">
        <v>1144131.371</v>
      </c>
      <c r="AV27" s="54">
        <v>28692.5</v>
      </c>
      <c r="AW27" s="54">
        <v>159487.1</v>
      </c>
      <c r="AX27" s="54">
        <v>1332310.97</v>
      </c>
      <c r="AY27" s="54">
        <v>50210.59</v>
      </c>
      <c r="AZ27" s="54">
        <v>1332310.97</v>
      </c>
      <c r="BA27" s="54">
        <v>2283.8000000000002</v>
      </c>
      <c r="BB27" s="28">
        <v>3268</v>
      </c>
      <c r="BC27" s="54">
        <v>642.20000000000005</v>
      </c>
      <c r="BD27" s="54">
        <v>573.79999999999995</v>
      </c>
      <c r="BE27" s="54">
        <v>1672</v>
      </c>
      <c r="BF27" s="54">
        <v>4959</v>
      </c>
      <c r="BG27" s="54">
        <v>13398.8</v>
      </c>
      <c r="BH27" s="55">
        <v>187</v>
      </c>
      <c r="BI27" s="55">
        <v>863379</v>
      </c>
      <c r="BJ27" s="55">
        <v>0</v>
      </c>
      <c r="BK27" s="55">
        <v>0</v>
      </c>
      <c r="BL27" s="55">
        <v>17120.400000000001</v>
      </c>
      <c r="BM27" s="55">
        <v>26822.080000000002</v>
      </c>
      <c r="BN27" s="55">
        <v>6289.35</v>
      </c>
      <c r="BO27" s="55">
        <v>6658</v>
      </c>
      <c r="BP27" s="55">
        <v>2092.48</v>
      </c>
      <c r="BQ27" s="55">
        <v>6848.16</v>
      </c>
      <c r="BR27" s="55">
        <v>19403.2</v>
      </c>
      <c r="BS27" s="55">
        <v>0</v>
      </c>
      <c r="BT27" s="55">
        <v>22035.69</v>
      </c>
      <c r="BU27" s="55">
        <v>60818.31</v>
      </c>
      <c r="BV27" s="55">
        <v>3123.41</v>
      </c>
      <c r="BW27" s="55">
        <v>152181.76000000001</v>
      </c>
      <c r="BX27" s="55">
        <v>21759</v>
      </c>
      <c r="BY27" s="55">
        <v>57403.4</v>
      </c>
      <c r="BZ27" s="55">
        <v>1265934.23</v>
      </c>
      <c r="CA27" s="54">
        <v>26456.76</v>
      </c>
      <c r="CB27" s="54">
        <v>0</v>
      </c>
      <c r="CC27" s="54">
        <v>0</v>
      </c>
      <c r="CD27" s="54">
        <v>3956.8</v>
      </c>
      <c r="CE27" s="54">
        <v>5362.01</v>
      </c>
      <c r="CF27" s="28">
        <v>0</v>
      </c>
      <c r="CG27" s="54">
        <v>10782</v>
      </c>
      <c r="CH27" s="54">
        <v>2320</v>
      </c>
      <c r="CI27" s="54">
        <v>7325</v>
      </c>
      <c r="CJ27" s="54">
        <v>0</v>
      </c>
      <c r="CK27" s="54"/>
      <c r="CL27" s="54"/>
      <c r="CM27" s="54"/>
      <c r="CN27" s="54"/>
      <c r="CO27" s="54"/>
      <c r="CP27" s="54"/>
      <c r="CQ27" s="54"/>
      <c r="CR27" s="54"/>
    </row>
    <row r="28" spans="1:96">
      <c r="A28" s="1">
        <v>2042859</v>
      </c>
      <c r="B28" s="1" t="s">
        <v>347</v>
      </c>
      <c r="C28" s="1" t="s">
        <v>322</v>
      </c>
      <c r="D28" s="1" t="s">
        <v>14</v>
      </c>
      <c r="E28" s="1">
        <v>401</v>
      </c>
      <c r="F28" s="1">
        <v>0</v>
      </c>
      <c r="G28" s="1">
        <v>0</v>
      </c>
      <c r="H28" s="54">
        <v>1904954.51</v>
      </c>
      <c r="I28" s="1">
        <v>98</v>
      </c>
      <c r="J28" s="1">
        <v>0</v>
      </c>
      <c r="K28" s="54">
        <v>56983.08</v>
      </c>
      <c r="L28" s="1">
        <v>101</v>
      </c>
      <c r="M28" s="1">
        <v>0</v>
      </c>
      <c r="N28" s="54">
        <v>98279.06</v>
      </c>
      <c r="O28" s="1">
        <v>94</v>
      </c>
      <c r="P28" s="1">
        <v>104</v>
      </c>
      <c r="Q28" s="1">
        <v>50</v>
      </c>
      <c r="R28" s="1">
        <v>13</v>
      </c>
      <c r="S28" s="1">
        <v>10</v>
      </c>
      <c r="T28" s="1">
        <v>0</v>
      </c>
      <c r="U28" s="1">
        <v>0</v>
      </c>
      <c r="V28" s="1">
        <v>0</v>
      </c>
      <c r="W28" s="1">
        <v>0</v>
      </c>
      <c r="X28" s="1">
        <v>0</v>
      </c>
      <c r="Y28" s="1">
        <v>0</v>
      </c>
      <c r="Z28" s="1">
        <v>0</v>
      </c>
      <c r="AA28" s="54">
        <v>101382.77</v>
      </c>
      <c r="AB28" s="1">
        <v>80.903508770000002</v>
      </c>
      <c r="AC28" s="1">
        <v>0</v>
      </c>
      <c r="AD28" s="54">
        <v>56642.97</v>
      </c>
      <c r="AE28" s="1">
        <v>106.2101155</v>
      </c>
      <c r="AF28" s="1">
        <v>0</v>
      </c>
      <c r="AG28" s="54">
        <v>147461.06</v>
      </c>
      <c r="AH28" s="1">
        <v>8.94</v>
      </c>
      <c r="AI28" s="1">
        <v>0</v>
      </c>
      <c r="AJ28" s="54">
        <v>10184.36</v>
      </c>
      <c r="AK28" s="54">
        <v>159487.1</v>
      </c>
      <c r="AL28" s="54">
        <v>45486</v>
      </c>
      <c r="AM28" s="54">
        <v>2542209.39</v>
      </c>
      <c r="AN28" s="54">
        <v>73559.460000000006</v>
      </c>
      <c r="AO28" s="54">
        <v>45853</v>
      </c>
      <c r="AP28" s="54">
        <v>159487.1</v>
      </c>
      <c r="AQ28" s="54">
        <v>2410428.75</v>
      </c>
      <c r="AR28" s="54">
        <v>399</v>
      </c>
      <c r="AS28" s="54">
        <v>6041.1748120000002</v>
      </c>
      <c r="AT28" s="54">
        <v>6071.3806860000004</v>
      </c>
      <c r="AU28" s="54">
        <v>2434623.6549999998</v>
      </c>
      <c r="AV28" s="54">
        <v>45486</v>
      </c>
      <c r="AW28" s="54">
        <v>159487.1</v>
      </c>
      <c r="AX28" s="54">
        <v>2639596.7599999998</v>
      </c>
      <c r="AY28" s="54">
        <v>58735.839999999997</v>
      </c>
      <c r="AZ28" s="54">
        <v>2639596.7599999998</v>
      </c>
      <c r="BA28" s="54">
        <v>4820.0200000000004</v>
      </c>
      <c r="BB28" s="28">
        <v>6957.7</v>
      </c>
      <c r="BC28" s="54">
        <v>1355.38</v>
      </c>
      <c r="BD28" s="54">
        <v>1211.02</v>
      </c>
      <c r="BE28" s="54">
        <v>3528.8</v>
      </c>
      <c r="BF28" s="54">
        <v>10466.1</v>
      </c>
      <c r="BG28" s="54">
        <v>28339.020000000004</v>
      </c>
      <c r="BH28" s="55">
        <v>399</v>
      </c>
      <c r="BI28" s="55">
        <v>1842183</v>
      </c>
      <c r="BJ28" s="55">
        <v>0</v>
      </c>
      <c r="BK28" s="55">
        <v>0</v>
      </c>
      <c r="BL28" s="55">
        <v>51361.2</v>
      </c>
      <c r="BM28" s="55">
        <v>79628.05</v>
      </c>
      <c r="BN28" s="55">
        <v>24063.599999999999</v>
      </c>
      <c r="BO28" s="55">
        <v>33622.9</v>
      </c>
      <c r="BP28" s="55">
        <v>25632.880000000001</v>
      </c>
      <c r="BQ28" s="55">
        <v>10842.92</v>
      </c>
      <c r="BR28" s="55">
        <v>4850.8</v>
      </c>
      <c r="BS28" s="55">
        <v>0</v>
      </c>
      <c r="BT28" s="55">
        <v>58609.37</v>
      </c>
      <c r="BU28" s="55">
        <v>146760.75</v>
      </c>
      <c r="BV28" s="55">
        <v>5685.06</v>
      </c>
      <c r="BW28" s="55">
        <v>152181.76000000001</v>
      </c>
      <c r="BX28" s="55">
        <v>45853</v>
      </c>
      <c r="BY28" s="55">
        <v>60934.1</v>
      </c>
      <c r="BZ28" s="55">
        <v>2542209.39</v>
      </c>
      <c r="CA28" s="54">
        <v>56450.52</v>
      </c>
      <c r="CB28" s="54">
        <v>0</v>
      </c>
      <c r="CC28" s="54">
        <v>0</v>
      </c>
      <c r="CD28" s="54">
        <v>11746.75</v>
      </c>
      <c r="CE28" s="54">
        <v>5362.01</v>
      </c>
      <c r="CF28" s="28">
        <v>0</v>
      </c>
      <c r="CG28" s="54">
        <v>22178</v>
      </c>
      <c r="CH28" s="54">
        <v>7033</v>
      </c>
      <c r="CI28" s="54">
        <v>8063</v>
      </c>
      <c r="CJ28" s="54">
        <v>0</v>
      </c>
      <c r="CK28" s="54"/>
      <c r="CL28" s="54"/>
      <c r="CM28" s="54"/>
      <c r="CN28" s="54"/>
      <c r="CO28" s="54"/>
      <c r="CP28" s="54"/>
      <c r="CQ28" s="54"/>
      <c r="CR28" s="54"/>
    </row>
    <row r="29" spans="1:96">
      <c r="A29" s="1">
        <v>2042860</v>
      </c>
      <c r="B29" s="1" t="s">
        <v>348</v>
      </c>
      <c r="C29" s="1" t="s">
        <v>322</v>
      </c>
      <c r="D29" s="1" t="s">
        <v>14</v>
      </c>
      <c r="E29" s="1">
        <v>200</v>
      </c>
      <c r="F29" s="1">
        <v>0</v>
      </c>
      <c r="G29" s="1">
        <v>0</v>
      </c>
      <c r="H29" s="54">
        <v>950102</v>
      </c>
      <c r="I29" s="1">
        <v>89</v>
      </c>
      <c r="J29" s="1">
        <v>0</v>
      </c>
      <c r="K29" s="54">
        <v>51749.94</v>
      </c>
      <c r="L29" s="1">
        <v>92</v>
      </c>
      <c r="M29" s="1">
        <v>0</v>
      </c>
      <c r="N29" s="54">
        <v>89521.52</v>
      </c>
      <c r="O29" s="1">
        <v>21.105527639999998</v>
      </c>
      <c r="P29" s="1">
        <v>53.266331659999999</v>
      </c>
      <c r="Q29" s="1">
        <v>32.16080402</v>
      </c>
      <c r="R29" s="1">
        <v>71.356783919999998</v>
      </c>
      <c r="S29" s="1">
        <v>12.06030151</v>
      </c>
      <c r="T29" s="1">
        <v>3.0150753770000001</v>
      </c>
      <c r="U29" s="1">
        <v>0</v>
      </c>
      <c r="V29" s="1">
        <v>0</v>
      </c>
      <c r="W29" s="1">
        <v>0</v>
      </c>
      <c r="X29" s="1">
        <v>0</v>
      </c>
      <c r="Y29" s="1">
        <v>0</v>
      </c>
      <c r="Z29" s="1">
        <v>0</v>
      </c>
      <c r="AA29" s="54">
        <v>91754.54</v>
      </c>
      <c r="AB29" s="1">
        <v>44.705882350000003</v>
      </c>
      <c r="AC29" s="1">
        <v>0</v>
      </c>
      <c r="AD29" s="54">
        <v>31299.93</v>
      </c>
      <c r="AE29" s="1">
        <v>68.27022375</v>
      </c>
      <c r="AF29" s="1">
        <v>0</v>
      </c>
      <c r="AG29" s="54">
        <v>94785.7</v>
      </c>
      <c r="AH29" s="1">
        <v>12</v>
      </c>
      <c r="AI29" s="1">
        <v>0</v>
      </c>
      <c r="AJ29" s="54">
        <v>13670.28</v>
      </c>
      <c r="AK29" s="54">
        <v>159487.1</v>
      </c>
      <c r="AL29" s="54">
        <v>66500</v>
      </c>
      <c r="AM29" s="54">
        <v>1490398.45</v>
      </c>
      <c r="AN29" s="54">
        <v>43602.33</v>
      </c>
      <c r="AO29" s="54">
        <v>107985</v>
      </c>
      <c r="AP29" s="54">
        <v>159487.1</v>
      </c>
      <c r="AQ29" s="54">
        <v>1266528.68</v>
      </c>
      <c r="AR29" s="54">
        <v>196</v>
      </c>
      <c r="AS29" s="54">
        <v>6461.8810199999998</v>
      </c>
      <c r="AT29" s="54">
        <v>6494.1904260000001</v>
      </c>
      <c r="AU29" s="54">
        <v>1298838.085</v>
      </c>
      <c r="AV29" s="54">
        <v>66500</v>
      </c>
      <c r="AW29" s="54">
        <v>159487.1</v>
      </c>
      <c r="AX29" s="54">
        <v>1524825.19</v>
      </c>
      <c r="AY29" s="54">
        <v>0</v>
      </c>
      <c r="AZ29" s="54">
        <v>1548871.01</v>
      </c>
      <c r="BA29" s="54">
        <v>2404</v>
      </c>
      <c r="BB29" s="28">
        <v>3844.71</v>
      </c>
      <c r="BC29" s="54">
        <v>676</v>
      </c>
      <c r="BD29" s="54">
        <v>604</v>
      </c>
      <c r="BE29" s="54">
        <v>1760</v>
      </c>
      <c r="BF29" s="54">
        <v>5220</v>
      </c>
      <c r="BG29" s="54">
        <v>14508.71</v>
      </c>
      <c r="BH29" s="55">
        <v>196</v>
      </c>
      <c r="BI29" s="55">
        <v>904932</v>
      </c>
      <c r="BJ29" s="55">
        <v>0</v>
      </c>
      <c r="BK29" s="55">
        <v>0</v>
      </c>
      <c r="BL29" s="55">
        <v>47937.120000000003</v>
      </c>
      <c r="BM29" s="55">
        <v>71246.149999999994</v>
      </c>
      <c r="BN29" s="55">
        <v>5771.9</v>
      </c>
      <c r="BO29" s="55">
        <v>16730.36</v>
      </c>
      <c r="BP29" s="55">
        <v>17351.490000000002</v>
      </c>
      <c r="BQ29" s="55">
        <v>39578.85</v>
      </c>
      <c r="BR29" s="55">
        <v>7313.51</v>
      </c>
      <c r="BS29" s="55">
        <v>2402</v>
      </c>
      <c r="BT29" s="55">
        <v>29135.360000000001</v>
      </c>
      <c r="BU29" s="55">
        <v>76841.53</v>
      </c>
      <c r="BV29" s="55">
        <v>10381.42</v>
      </c>
      <c r="BW29" s="55">
        <v>152181.76000000001</v>
      </c>
      <c r="BX29" s="55">
        <v>107985</v>
      </c>
      <c r="BY29" s="55">
        <v>610.01</v>
      </c>
      <c r="BZ29" s="55">
        <v>1490398.45</v>
      </c>
      <c r="CA29" s="54">
        <v>27730.080000000002</v>
      </c>
      <c r="CB29" s="54">
        <v>0</v>
      </c>
      <c r="CC29" s="54">
        <v>0</v>
      </c>
      <c r="CD29" s="54">
        <v>10386.6</v>
      </c>
      <c r="CE29" s="54">
        <v>5362.01</v>
      </c>
      <c r="CF29" s="28">
        <v>0</v>
      </c>
      <c r="CG29" s="54">
        <v>13084</v>
      </c>
      <c r="CH29" s="54">
        <v>6162.25</v>
      </c>
      <c r="CI29" s="54">
        <v>7371</v>
      </c>
      <c r="CJ29" s="54">
        <v>0</v>
      </c>
      <c r="CK29" s="54"/>
      <c r="CL29" s="54"/>
      <c r="CM29" s="54"/>
      <c r="CN29" s="54"/>
      <c r="CO29" s="54"/>
      <c r="CP29" s="54"/>
      <c r="CQ29" s="54"/>
      <c r="CR29" s="54"/>
    </row>
    <row r="30" spans="1:96">
      <c r="A30" s="1">
        <v>2042861</v>
      </c>
      <c r="B30" s="1" t="s">
        <v>349</v>
      </c>
      <c r="C30" s="1" t="s">
        <v>322</v>
      </c>
      <c r="D30" s="1" t="s">
        <v>14</v>
      </c>
      <c r="E30" s="1">
        <v>154</v>
      </c>
      <c r="F30" s="1">
        <v>0</v>
      </c>
      <c r="G30" s="1">
        <v>0</v>
      </c>
      <c r="H30" s="54">
        <v>731578.54</v>
      </c>
      <c r="I30" s="1">
        <v>78</v>
      </c>
      <c r="J30" s="1">
        <v>0</v>
      </c>
      <c r="K30" s="54">
        <v>45353.88</v>
      </c>
      <c r="L30" s="1">
        <v>81</v>
      </c>
      <c r="M30" s="1">
        <v>0</v>
      </c>
      <c r="N30" s="54">
        <v>78817.86</v>
      </c>
      <c r="O30" s="1">
        <v>19</v>
      </c>
      <c r="P30" s="1">
        <v>63</v>
      </c>
      <c r="Q30" s="1">
        <v>18</v>
      </c>
      <c r="R30" s="1">
        <v>43</v>
      </c>
      <c r="S30" s="1">
        <v>7</v>
      </c>
      <c r="T30" s="1">
        <v>0</v>
      </c>
      <c r="U30" s="1">
        <v>0</v>
      </c>
      <c r="V30" s="1">
        <v>0</v>
      </c>
      <c r="W30" s="1">
        <v>0</v>
      </c>
      <c r="X30" s="1">
        <v>0</v>
      </c>
      <c r="Y30" s="1">
        <v>0</v>
      </c>
      <c r="Z30" s="1">
        <v>0</v>
      </c>
      <c r="AA30" s="54">
        <v>65135.91</v>
      </c>
      <c r="AB30" s="1">
        <v>40.173913040000002</v>
      </c>
      <c r="AC30" s="1">
        <v>0</v>
      </c>
      <c r="AD30" s="54">
        <v>28126.959999999999</v>
      </c>
      <c r="AE30" s="1">
        <v>39.448654040000001</v>
      </c>
      <c r="AF30" s="1">
        <v>0</v>
      </c>
      <c r="AG30" s="54">
        <v>54770.12</v>
      </c>
      <c r="AH30" s="1">
        <v>0</v>
      </c>
      <c r="AI30" s="1">
        <v>0</v>
      </c>
      <c r="AJ30" s="54">
        <v>0</v>
      </c>
      <c r="AK30" s="54">
        <v>159487.1</v>
      </c>
      <c r="AL30" s="54">
        <v>28942</v>
      </c>
      <c r="AM30" s="54">
        <v>1184651.9099999999</v>
      </c>
      <c r="AN30" s="54">
        <v>38067.919999999998</v>
      </c>
      <c r="AO30" s="54">
        <v>22522</v>
      </c>
      <c r="AP30" s="54">
        <v>159487.1</v>
      </c>
      <c r="AQ30" s="54">
        <v>1040710.73</v>
      </c>
      <c r="AR30" s="54">
        <v>163</v>
      </c>
      <c r="AS30" s="54">
        <v>6384.7284049999998</v>
      </c>
      <c r="AT30" s="54">
        <v>6416.6520469999996</v>
      </c>
      <c r="AU30" s="54">
        <v>988164.41520000005</v>
      </c>
      <c r="AV30" s="54">
        <v>28942</v>
      </c>
      <c r="AW30" s="54">
        <v>159487.1</v>
      </c>
      <c r="AX30" s="54">
        <v>1176593.52</v>
      </c>
      <c r="AY30" s="54">
        <v>0</v>
      </c>
      <c r="AZ30" s="54">
        <v>1192212.3700000001</v>
      </c>
      <c r="BA30" s="54">
        <v>1851.08</v>
      </c>
      <c r="BB30" s="28">
        <v>3454.96</v>
      </c>
      <c r="BC30" s="54">
        <v>520.52</v>
      </c>
      <c r="BD30" s="54">
        <v>465.08</v>
      </c>
      <c r="BE30" s="54">
        <v>1355.2</v>
      </c>
      <c r="BF30" s="54">
        <v>4019.4</v>
      </c>
      <c r="BG30" s="54">
        <v>11666.24</v>
      </c>
      <c r="BH30" s="55">
        <v>163</v>
      </c>
      <c r="BI30" s="55">
        <v>752571</v>
      </c>
      <c r="BJ30" s="55">
        <v>0</v>
      </c>
      <c r="BK30" s="55">
        <v>0</v>
      </c>
      <c r="BL30" s="55">
        <v>43942.36</v>
      </c>
      <c r="BM30" s="55">
        <v>65378.82</v>
      </c>
      <c r="BN30" s="55">
        <v>5469</v>
      </c>
      <c r="BO30" s="55">
        <v>24301.7</v>
      </c>
      <c r="BP30" s="55">
        <v>9939.2800000000007</v>
      </c>
      <c r="BQ30" s="55">
        <v>23968.560000000001</v>
      </c>
      <c r="BR30" s="55">
        <v>3638.1</v>
      </c>
      <c r="BS30" s="55">
        <v>0</v>
      </c>
      <c r="BT30" s="55">
        <v>22024.31</v>
      </c>
      <c r="BU30" s="55">
        <v>58715.02</v>
      </c>
      <c r="BV30" s="55">
        <v>0</v>
      </c>
      <c r="BW30" s="55">
        <v>152181.76000000001</v>
      </c>
      <c r="BX30" s="55">
        <v>22522</v>
      </c>
      <c r="BY30" s="55">
        <v>0</v>
      </c>
      <c r="BZ30" s="55">
        <v>1184651.9099999999</v>
      </c>
      <c r="CA30" s="54">
        <v>23061.24</v>
      </c>
      <c r="CB30" s="54">
        <v>0</v>
      </c>
      <c r="CC30" s="54">
        <v>0</v>
      </c>
      <c r="CD30" s="54">
        <v>9521.0499999999993</v>
      </c>
      <c r="CE30" s="54">
        <v>5362.01</v>
      </c>
      <c r="CF30" s="28">
        <v>0</v>
      </c>
      <c r="CG30" s="54">
        <v>11414</v>
      </c>
      <c r="CH30" s="54">
        <v>5582.75</v>
      </c>
      <c r="CI30" s="54">
        <v>7279</v>
      </c>
      <c r="CJ30" s="54">
        <v>0</v>
      </c>
      <c r="CK30" s="54"/>
      <c r="CL30" s="54"/>
      <c r="CM30" s="54"/>
      <c r="CN30" s="54"/>
      <c r="CO30" s="54"/>
      <c r="CP30" s="54"/>
      <c r="CQ30" s="54"/>
      <c r="CR30" s="54"/>
    </row>
    <row r="31" spans="1:96">
      <c r="A31" s="1">
        <v>2042862</v>
      </c>
      <c r="B31" s="1" t="s">
        <v>350</v>
      </c>
      <c r="C31" s="1" t="s">
        <v>322</v>
      </c>
      <c r="D31" s="1" t="s">
        <v>14</v>
      </c>
      <c r="E31" s="1">
        <v>163</v>
      </c>
      <c r="F31" s="1">
        <v>0</v>
      </c>
      <c r="G31" s="1">
        <v>0</v>
      </c>
      <c r="H31" s="54">
        <v>774333.13</v>
      </c>
      <c r="I31" s="1">
        <v>68</v>
      </c>
      <c r="J31" s="1">
        <v>0</v>
      </c>
      <c r="K31" s="54">
        <v>39539.279999999999</v>
      </c>
      <c r="L31" s="1">
        <v>69</v>
      </c>
      <c r="M31" s="1">
        <v>0</v>
      </c>
      <c r="N31" s="54">
        <v>67141.14</v>
      </c>
      <c r="O31" s="1">
        <v>25</v>
      </c>
      <c r="P31" s="1">
        <v>16</v>
      </c>
      <c r="Q31" s="1">
        <v>77</v>
      </c>
      <c r="R31" s="1">
        <v>14</v>
      </c>
      <c r="S31" s="1">
        <v>20</v>
      </c>
      <c r="T31" s="1">
        <v>0</v>
      </c>
      <c r="U31" s="1">
        <v>0</v>
      </c>
      <c r="V31" s="1">
        <v>0</v>
      </c>
      <c r="W31" s="1">
        <v>0</v>
      </c>
      <c r="X31" s="1">
        <v>0</v>
      </c>
      <c r="Y31" s="1">
        <v>0</v>
      </c>
      <c r="Z31" s="1">
        <v>0</v>
      </c>
      <c r="AA31" s="54">
        <v>73323.59</v>
      </c>
      <c r="AB31" s="1">
        <v>42.717241379999997</v>
      </c>
      <c r="AC31" s="1">
        <v>0</v>
      </c>
      <c r="AD31" s="54">
        <v>29907.62</v>
      </c>
      <c r="AE31" s="1">
        <v>42.608862360000003</v>
      </c>
      <c r="AF31" s="1">
        <v>0</v>
      </c>
      <c r="AG31" s="54">
        <v>59157.72</v>
      </c>
      <c r="AH31" s="1">
        <v>0</v>
      </c>
      <c r="AI31" s="1">
        <v>0</v>
      </c>
      <c r="AJ31" s="54">
        <v>0</v>
      </c>
      <c r="AK31" s="54">
        <v>159487.1</v>
      </c>
      <c r="AL31" s="54">
        <v>134330</v>
      </c>
      <c r="AM31" s="54">
        <v>1389091.42</v>
      </c>
      <c r="AN31" s="54">
        <v>39978.51</v>
      </c>
      <c r="AO31" s="54">
        <v>102559</v>
      </c>
      <c r="AP31" s="54">
        <v>159487.1</v>
      </c>
      <c r="AQ31" s="54">
        <v>1167023.83</v>
      </c>
      <c r="AR31" s="54">
        <v>180</v>
      </c>
      <c r="AS31" s="54">
        <v>6483.4657219999999</v>
      </c>
      <c r="AT31" s="54">
        <v>6515.8830509999998</v>
      </c>
      <c r="AU31" s="54">
        <v>1062088.9369999999</v>
      </c>
      <c r="AV31" s="54">
        <v>134330</v>
      </c>
      <c r="AW31" s="54">
        <v>159487.1</v>
      </c>
      <c r="AX31" s="54">
        <v>1355906.04</v>
      </c>
      <c r="AY31" s="54">
        <v>18686.46</v>
      </c>
      <c r="AZ31" s="54">
        <v>1355906.04</v>
      </c>
      <c r="BA31" s="54">
        <v>1959.26</v>
      </c>
      <c r="BB31" s="28">
        <v>3673.68</v>
      </c>
      <c r="BC31" s="54">
        <v>550.94000000000005</v>
      </c>
      <c r="BD31" s="54">
        <v>492.26</v>
      </c>
      <c r="BE31" s="54">
        <v>1434.4</v>
      </c>
      <c r="BF31" s="54">
        <v>4254.3</v>
      </c>
      <c r="BG31" s="54">
        <v>12364.84</v>
      </c>
      <c r="BH31" s="55">
        <v>180</v>
      </c>
      <c r="BI31" s="55">
        <v>831060</v>
      </c>
      <c r="BJ31" s="55">
        <v>0</v>
      </c>
      <c r="BK31" s="55">
        <v>0</v>
      </c>
      <c r="BL31" s="55">
        <v>38806.239999999998</v>
      </c>
      <c r="BM31" s="55">
        <v>62026.06</v>
      </c>
      <c r="BN31" s="55">
        <v>7974.35</v>
      </c>
      <c r="BO31" s="55">
        <v>5690.92</v>
      </c>
      <c r="BP31" s="55">
        <v>45765.69</v>
      </c>
      <c r="BQ31" s="55">
        <v>7460.29</v>
      </c>
      <c r="BR31" s="55">
        <v>13414.22</v>
      </c>
      <c r="BS31" s="55">
        <v>1602.06</v>
      </c>
      <c r="BT31" s="55">
        <v>33851.620000000003</v>
      </c>
      <c r="BU31" s="55">
        <v>58785.63</v>
      </c>
      <c r="BV31" s="55">
        <v>0</v>
      </c>
      <c r="BW31" s="55">
        <v>152181.76000000001</v>
      </c>
      <c r="BX31" s="55">
        <v>102559</v>
      </c>
      <c r="BY31" s="55">
        <v>27913.58</v>
      </c>
      <c r="BZ31" s="55">
        <v>1389091.42</v>
      </c>
      <c r="CA31" s="54">
        <v>25466.400000000001</v>
      </c>
      <c r="CB31" s="54">
        <v>0</v>
      </c>
      <c r="CC31" s="54">
        <v>0</v>
      </c>
      <c r="CD31" s="54">
        <v>8902.7999999999993</v>
      </c>
      <c r="CE31" s="54">
        <v>5362.01</v>
      </c>
      <c r="CF31" s="28">
        <v>0</v>
      </c>
      <c r="CG31" s="54">
        <v>11957</v>
      </c>
      <c r="CH31" s="54">
        <v>5365.5</v>
      </c>
      <c r="CI31" s="54">
        <v>7338</v>
      </c>
      <c r="CJ31" s="54">
        <v>0</v>
      </c>
      <c r="CK31" s="54"/>
      <c r="CL31" s="54"/>
      <c r="CM31" s="54"/>
      <c r="CN31" s="54"/>
      <c r="CO31" s="54"/>
      <c r="CP31" s="54"/>
      <c r="CQ31" s="54"/>
      <c r="CR31" s="54"/>
    </row>
    <row r="32" spans="1:96">
      <c r="A32" s="1">
        <v>2042863</v>
      </c>
      <c r="B32" s="1" t="s">
        <v>351</v>
      </c>
      <c r="C32" s="1" t="s">
        <v>322</v>
      </c>
      <c r="D32" s="1" t="s">
        <v>14</v>
      </c>
      <c r="E32" s="1">
        <v>194</v>
      </c>
      <c r="F32" s="1">
        <v>0</v>
      </c>
      <c r="G32" s="1">
        <v>0</v>
      </c>
      <c r="H32" s="54">
        <v>921598.94</v>
      </c>
      <c r="I32" s="1">
        <v>63</v>
      </c>
      <c r="J32" s="1">
        <v>0</v>
      </c>
      <c r="K32" s="54">
        <v>36631.980000000003</v>
      </c>
      <c r="L32" s="1">
        <v>64</v>
      </c>
      <c r="M32" s="1">
        <v>0</v>
      </c>
      <c r="N32" s="54">
        <v>62275.839999999997</v>
      </c>
      <c r="O32" s="1">
        <v>49</v>
      </c>
      <c r="P32" s="1">
        <v>14</v>
      </c>
      <c r="Q32" s="1">
        <v>35</v>
      </c>
      <c r="R32" s="1">
        <v>4</v>
      </c>
      <c r="S32" s="1">
        <v>20</v>
      </c>
      <c r="T32" s="1">
        <v>5</v>
      </c>
      <c r="U32" s="1">
        <v>0</v>
      </c>
      <c r="V32" s="1">
        <v>0</v>
      </c>
      <c r="W32" s="1">
        <v>0</v>
      </c>
      <c r="X32" s="1">
        <v>0</v>
      </c>
      <c r="Y32" s="1">
        <v>0</v>
      </c>
      <c r="Z32" s="1">
        <v>0</v>
      </c>
      <c r="AA32" s="54">
        <v>55440.9</v>
      </c>
      <c r="AB32" s="1">
        <v>86.607142859999996</v>
      </c>
      <c r="AC32" s="1">
        <v>0</v>
      </c>
      <c r="AD32" s="54">
        <v>60636.26</v>
      </c>
      <c r="AE32" s="1">
        <v>55.984426620000001</v>
      </c>
      <c r="AF32" s="1">
        <v>0</v>
      </c>
      <c r="AG32" s="54">
        <v>77728.22</v>
      </c>
      <c r="AH32" s="1">
        <v>9.36</v>
      </c>
      <c r="AI32" s="1">
        <v>0</v>
      </c>
      <c r="AJ32" s="54">
        <v>10662.82</v>
      </c>
      <c r="AK32" s="54">
        <v>159487.1</v>
      </c>
      <c r="AL32" s="54">
        <v>20084.75</v>
      </c>
      <c r="AM32" s="54">
        <v>1325400.8</v>
      </c>
      <c r="AN32" s="54">
        <v>40792.92</v>
      </c>
      <c r="AO32" s="54">
        <v>19087</v>
      </c>
      <c r="AP32" s="54">
        <v>159487.1</v>
      </c>
      <c r="AQ32" s="54">
        <v>1187619.6200000001</v>
      </c>
      <c r="AR32" s="54">
        <v>191</v>
      </c>
      <c r="AS32" s="54">
        <v>6217.9037699999999</v>
      </c>
      <c r="AT32" s="54">
        <v>6248.9932879999997</v>
      </c>
      <c r="AU32" s="54">
        <v>1212304.6980000001</v>
      </c>
      <c r="AV32" s="54">
        <v>20084.75</v>
      </c>
      <c r="AW32" s="54">
        <v>159487.1</v>
      </c>
      <c r="AX32" s="54">
        <v>1391876.55</v>
      </c>
      <c r="AY32" s="54">
        <v>0</v>
      </c>
      <c r="AZ32" s="54">
        <v>1404546.81</v>
      </c>
      <c r="BA32" s="54">
        <v>2331.88</v>
      </c>
      <c r="BB32" s="28">
        <v>7448.21</v>
      </c>
      <c r="BC32" s="54">
        <v>655.72</v>
      </c>
      <c r="BD32" s="54">
        <v>585.88</v>
      </c>
      <c r="BE32" s="54">
        <v>1707.2</v>
      </c>
      <c r="BF32" s="54">
        <v>5063.3999999999996</v>
      </c>
      <c r="BG32" s="54">
        <v>17792.29</v>
      </c>
      <c r="BH32" s="55">
        <v>191</v>
      </c>
      <c r="BI32" s="55">
        <v>881847</v>
      </c>
      <c r="BJ32" s="55">
        <v>0</v>
      </c>
      <c r="BK32" s="55">
        <v>0</v>
      </c>
      <c r="BL32" s="55">
        <v>38806.239999999998</v>
      </c>
      <c r="BM32" s="55">
        <v>56996.92</v>
      </c>
      <c r="BN32" s="55">
        <v>14766.3</v>
      </c>
      <c r="BO32" s="55">
        <v>2996.1</v>
      </c>
      <c r="BP32" s="55">
        <v>15693.6</v>
      </c>
      <c r="BQ32" s="55">
        <v>2853.4</v>
      </c>
      <c r="BR32" s="55">
        <v>7276.2</v>
      </c>
      <c r="BS32" s="55">
        <v>1593.16</v>
      </c>
      <c r="BT32" s="55">
        <v>54746.04</v>
      </c>
      <c r="BU32" s="55">
        <v>65980.11</v>
      </c>
      <c r="BV32" s="55">
        <v>5100.83</v>
      </c>
      <c r="BW32" s="55">
        <v>152181.76000000001</v>
      </c>
      <c r="BX32" s="55">
        <v>19087</v>
      </c>
      <c r="BY32" s="55">
        <v>5476.14</v>
      </c>
      <c r="BZ32" s="55">
        <v>1325400.8</v>
      </c>
      <c r="CA32" s="54">
        <v>27022.68</v>
      </c>
      <c r="CB32" s="54">
        <v>0</v>
      </c>
      <c r="CC32" s="54">
        <v>0</v>
      </c>
      <c r="CD32" s="54">
        <v>8408.2000000000007</v>
      </c>
      <c r="CE32" s="54">
        <v>5362.01</v>
      </c>
      <c r="CF32" s="28">
        <v>0</v>
      </c>
      <c r="CG32" s="54">
        <v>12280</v>
      </c>
      <c r="CH32" s="54">
        <v>5147.75</v>
      </c>
      <c r="CI32" s="54">
        <v>7367</v>
      </c>
      <c r="CJ32" s="54">
        <v>0</v>
      </c>
      <c r="CK32" s="54"/>
      <c r="CL32" s="54"/>
      <c r="CM32" s="54"/>
      <c r="CN32" s="54"/>
      <c r="CO32" s="54"/>
      <c r="CP32" s="54"/>
      <c r="CQ32" s="54"/>
      <c r="CR32" s="54"/>
    </row>
    <row r="33" spans="1:96">
      <c r="A33" s="1">
        <v>2042864</v>
      </c>
      <c r="B33" s="1" t="s">
        <v>352</v>
      </c>
      <c r="C33" s="1" t="s">
        <v>322</v>
      </c>
      <c r="D33" s="1" t="s">
        <v>14</v>
      </c>
      <c r="E33" s="1">
        <v>410</v>
      </c>
      <c r="F33" s="1">
        <v>0</v>
      </c>
      <c r="G33" s="1">
        <v>0</v>
      </c>
      <c r="H33" s="54">
        <v>1947709.1</v>
      </c>
      <c r="I33" s="1">
        <v>108</v>
      </c>
      <c r="J33" s="1">
        <v>0</v>
      </c>
      <c r="K33" s="54">
        <v>62797.68</v>
      </c>
      <c r="L33" s="1">
        <v>109</v>
      </c>
      <c r="M33" s="1">
        <v>0</v>
      </c>
      <c r="N33" s="54">
        <v>106063.54</v>
      </c>
      <c r="O33" s="1">
        <v>83.406862750000002</v>
      </c>
      <c r="P33" s="1">
        <v>68.333333330000002</v>
      </c>
      <c r="Q33" s="1">
        <v>37.181372549999999</v>
      </c>
      <c r="R33" s="1">
        <v>4.0196078430000002</v>
      </c>
      <c r="S33" s="1">
        <v>14.068627449999999</v>
      </c>
      <c r="T33" s="1">
        <v>19.093137250000002</v>
      </c>
      <c r="U33" s="1">
        <v>0</v>
      </c>
      <c r="V33" s="1">
        <v>0</v>
      </c>
      <c r="W33" s="1">
        <v>0</v>
      </c>
      <c r="X33" s="1">
        <v>0</v>
      </c>
      <c r="Y33" s="1">
        <v>0</v>
      </c>
      <c r="Z33" s="1">
        <v>0</v>
      </c>
      <c r="AA33" s="54">
        <v>92321.99</v>
      </c>
      <c r="AB33" s="1">
        <v>41</v>
      </c>
      <c r="AC33" s="1">
        <v>0</v>
      </c>
      <c r="AD33" s="54">
        <v>28705.33</v>
      </c>
      <c r="AE33" s="1">
        <v>59.614502799999997</v>
      </c>
      <c r="AF33" s="1">
        <v>0</v>
      </c>
      <c r="AG33" s="54">
        <v>82768.179999999993</v>
      </c>
      <c r="AH33" s="1">
        <v>5.4</v>
      </c>
      <c r="AI33" s="1">
        <v>0</v>
      </c>
      <c r="AJ33" s="54">
        <v>6151.63</v>
      </c>
      <c r="AK33" s="54">
        <v>159487.1</v>
      </c>
      <c r="AL33" s="54">
        <v>46018</v>
      </c>
      <c r="AM33" s="54">
        <v>2525863.0099999998</v>
      </c>
      <c r="AN33" s="54">
        <v>75080.09</v>
      </c>
      <c r="AO33" s="54">
        <v>43954</v>
      </c>
      <c r="AP33" s="54">
        <v>159487.1</v>
      </c>
      <c r="AQ33" s="54">
        <v>2397502</v>
      </c>
      <c r="AR33" s="54">
        <v>408</v>
      </c>
      <c r="AS33" s="54">
        <v>5876.2303920000004</v>
      </c>
      <c r="AT33" s="54">
        <v>5905.6115440000003</v>
      </c>
      <c r="AU33" s="54">
        <v>2421300.733</v>
      </c>
      <c r="AV33" s="54">
        <v>46018</v>
      </c>
      <c r="AW33" s="54">
        <v>159487.1</v>
      </c>
      <c r="AX33" s="54">
        <v>2626805.83</v>
      </c>
      <c r="AY33" s="54">
        <v>94783.29</v>
      </c>
      <c r="AZ33" s="54">
        <v>2626805.83</v>
      </c>
      <c r="BA33" s="54">
        <v>4928.2</v>
      </c>
      <c r="BB33" s="28">
        <v>3526</v>
      </c>
      <c r="BC33" s="54">
        <v>1385.8</v>
      </c>
      <c r="BD33" s="54">
        <v>1238.2</v>
      </c>
      <c r="BE33" s="54">
        <v>3608</v>
      </c>
      <c r="BF33" s="54">
        <v>10701</v>
      </c>
      <c r="BG33" s="54">
        <v>25387.200000000001</v>
      </c>
      <c r="BH33" s="55">
        <v>408</v>
      </c>
      <c r="BI33" s="55">
        <v>1883736</v>
      </c>
      <c r="BJ33" s="55">
        <v>0</v>
      </c>
      <c r="BK33" s="55">
        <v>0</v>
      </c>
      <c r="BL33" s="55">
        <v>53073.24</v>
      </c>
      <c r="BM33" s="55">
        <v>81304.429999999993</v>
      </c>
      <c r="BN33" s="55">
        <v>20609.78</v>
      </c>
      <c r="BO33" s="55">
        <v>21745.09</v>
      </c>
      <c r="BP33" s="55">
        <v>16822.3</v>
      </c>
      <c r="BQ33" s="55">
        <v>2293.96</v>
      </c>
      <c r="BR33" s="55">
        <v>10358.73</v>
      </c>
      <c r="BS33" s="55">
        <v>11207.06</v>
      </c>
      <c r="BT33" s="55">
        <v>23378.2</v>
      </c>
      <c r="BU33" s="55">
        <v>78772.639999999999</v>
      </c>
      <c r="BV33" s="55">
        <v>0</v>
      </c>
      <c r="BW33" s="55">
        <v>152181.76000000001</v>
      </c>
      <c r="BX33" s="55">
        <v>43954</v>
      </c>
      <c r="BY33" s="55">
        <v>126425.82</v>
      </c>
      <c r="BZ33" s="55">
        <v>2525863.0099999998</v>
      </c>
      <c r="CA33" s="54">
        <v>57723.839999999997</v>
      </c>
      <c r="CB33" s="54">
        <v>0</v>
      </c>
      <c r="CC33" s="54">
        <v>0</v>
      </c>
      <c r="CD33" s="54">
        <v>11994.05</v>
      </c>
      <c r="CE33" s="54">
        <v>5362.01</v>
      </c>
      <c r="CF33" s="28">
        <v>0</v>
      </c>
      <c r="CG33" s="54">
        <v>22637</v>
      </c>
      <c r="CH33" s="54">
        <v>7032.25</v>
      </c>
      <c r="CI33" s="54">
        <v>8125</v>
      </c>
      <c r="CJ33" s="54">
        <v>0</v>
      </c>
      <c r="CK33" s="54"/>
      <c r="CL33" s="54"/>
      <c r="CM33" s="54"/>
      <c r="CN33" s="54"/>
      <c r="CO33" s="54"/>
      <c r="CP33" s="54"/>
      <c r="CQ33" s="54"/>
      <c r="CR33" s="54"/>
    </row>
    <row r="34" spans="1:96">
      <c r="A34" s="1">
        <v>2042865</v>
      </c>
      <c r="B34" s="1" t="s">
        <v>353</v>
      </c>
      <c r="C34" s="1" t="s">
        <v>322</v>
      </c>
      <c r="D34" s="1" t="s">
        <v>14</v>
      </c>
      <c r="E34" s="1">
        <v>189</v>
      </c>
      <c r="F34" s="1">
        <v>0</v>
      </c>
      <c r="G34" s="1">
        <v>0</v>
      </c>
      <c r="H34" s="54">
        <v>897846.39</v>
      </c>
      <c r="I34" s="1">
        <v>78</v>
      </c>
      <c r="J34" s="1">
        <v>0</v>
      </c>
      <c r="K34" s="54">
        <v>45353.88</v>
      </c>
      <c r="L34" s="1">
        <v>81</v>
      </c>
      <c r="M34" s="1">
        <v>0</v>
      </c>
      <c r="N34" s="54">
        <v>78817.86</v>
      </c>
      <c r="O34" s="1">
        <v>22</v>
      </c>
      <c r="P34" s="1">
        <v>27</v>
      </c>
      <c r="Q34" s="1">
        <v>23</v>
      </c>
      <c r="R34" s="1">
        <v>9</v>
      </c>
      <c r="S34" s="1">
        <v>97</v>
      </c>
      <c r="T34" s="1">
        <v>5</v>
      </c>
      <c r="U34" s="1">
        <v>0</v>
      </c>
      <c r="V34" s="1">
        <v>0</v>
      </c>
      <c r="W34" s="1">
        <v>0</v>
      </c>
      <c r="X34" s="1">
        <v>0</v>
      </c>
      <c r="Y34" s="1">
        <v>0</v>
      </c>
      <c r="Z34" s="1">
        <v>0</v>
      </c>
      <c r="AA34" s="54">
        <v>95905.95</v>
      </c>
      <c r="AB34" s="1">
        <v>73.309090909999995</v>
      </c>
      <c r="AC34" s="1">
        <v>0</v>
      </c>
      <c r="AD34" s="54">
        <v>51325.89</v>
      </c>
      <c r="AE34" s="1">
        <v>72.035428909999993</v>
      </c>
      <c r="AF34" s="1">
        <v>0</v>
      </c>
      <c r="AG34" s="54">
        <v>100013.27</v>
      </c>
      <c r="AH34" s="1">
        <v>7.66</v>
      </c>
      <c r="AI34" s="1">
        <v>0</v>
      </c>
      <c r="AJ34" s="54">
        <v>8726.2000000000007</v>
      </c>
      <c r="AK34" s="54">
        <v>159487.1</v>
      </c>
      <c r="AL34" s="54">
        <v>25199.5</v>
      </c>
      <c r="AM34" s="54">
        <v>1360480.02</v>
      </c>
      <c r="AN34" s="54">
        <v>40880.9</v>
      </c>
      <c r="AO34" s="54">
        <v>22650</v>
      </c>
      <c r="AP34" s="54">
        <v>159487.1</v>
      </c>
      <c r="AQ34" s="54">
        <v>1219223.82</v>
      </c>
      <c r="AR34" s="54">
        <v>189</v>
      </c>
      <c r="AS34" s="54">
        <v>6450.9196830000001</v>
      </c>
      <c r="AT34" s="54">
        <v>6483.1742809999996</v>
      </c>
      <c r="AU34" s="54">
        <v>1225319.939</v>
      </c>
      <c r="AV34" s="54">
        <v>25199.5</v>
      </c>
      <c r="AW34" s="54">
        <v>159487.1</v>
      </c>
      <c r="AX34" s="54">
        <v>1410006.54</v>
      </c>
      <c r="AY34" s="54">
        <v>0</v>
      </c>
      <c r="AZ34" s="54">
        <v>1462676.04</v>
      </c>
      <c r="BA34" s="54">
        <v>2271.7800000000002</v>
      </c>
      <c r="BB34" s="28">
        <v>6304.58</v>
      </c>
      <c r="BC34" s="54">
        <v>638.82000000000005</v>
      </c>
      <c r="BD34" s="54">
        <v>570.78</v>
      </c>
      <c r="BE34" s="54">
        <v>1663.2</v>
      </c>
      <c r="BF34" s="54">
        <v>4932.8999999999996</v>
      </c>
      <c r="BG34" s="54">
        <v>16382.060000000001</v>
      </c>
      <c r="BH34" s="55">
        <v>189</v>
      </c>
      <c r="BI34" s="55">
        <v>872613</v>
      </c>
      <c r="BJ34" s="55">
        <v>0</v>
      </c>
      <c r="BK34" s="55">
        <v>0</v>
      </c>
      <c r="BL34" s="55">
        <v>38806.239999999998</v>
      </c>
      <c r="BM34" s="55">
        <v>59511.49</v>
      </c>
      <c r="BN34" s="55">
        <v>5742.45</v>
      </c>
      <c r="BO34" s="55">
        <v>10319.9</v>
      </c>
      <c r="BP34" s="55">
        <v>10462.4</v>
      </c>
      <c r="BQ34" s="55">
        <v>4565.4399999999996</v>
      </c>
      <c r="BR34" s="55">
        <v>60028.65</v>
      </c>
      <c r="BS34" s="55">
        <v>3186.32</v>
      </c>
      <c r="BT34" s="55">
        <v>41284.26</v>
      </c>
      <c r="BU34" s="55">
        <v>70521.87</v>
      </c>
      <c r="BV34" s="55">
        <v>8606.24</v>
      </c>
      <c r="BW34" s="55">
        <v>152181.76000000001</v>
      </c>
      <c r="BX34" s="55">
        <v>22650</v>
      </c>
      <c r="BY34" s="55">
        <v>0</v>
      </c>
      <c r="BZ34" s="55">
        <v>1360480.02</v>
      </c>
      <c r="CA34" s="54">
        <v>26739.72</v>
      </c>
      <c r="CB34" s="54">
        <v>0</v>
      </c>
      <c r="CC34" s="54">
        <v>0</v>
      </c>
      <c r="CD34" s="54">
        <v>8779.15</v>
      </c>
      <c r="CE34" s="54">
        <v>5362.01</v>
      </c>
      <c r="CF34" s="28">
        <v>0</v>
      </c>
      <c r="CG34" s="54">
        <v>12305</v>
      </c>
      <c r="CH34" s="54">
        <v>5292.25</v>
      </c>
      <c r="CI34" s="54">
        <v>7321</v>
      </c>
      <c r="CJ34" s="54">
        <v>0</v>
      </c>
      <c r="CK34" s="54"/>
      <c r="CL34" s="54"/>
      <c r="CM34" s="54"/>
      <c r="CN34" s="54"/>
      <c r="CO34" s="54"/>
      <c r="CP34" s="54"/>
      <c r="CQ34" s="54"/>
      <c r="CR34" s="54"/>
    </row>
    <row r="35" spans="1:96">
      <c r="A35" s="1">
        <v>2042872</v>
      </c>
      <c r="B35" s="1" t="s">
        <v>354</v>
      </c>
      <c r="C35" s="1" t="s">
        <v>322</v>
      </c>
      <c r="D35" s="1" t="s">
        <v>14</v>
      </c>
      <c r="E35" s="1">
        <v>233</v>
      </c>
      <c r="F35" s="1">
        <v>0</v>
      </c>
      <c r="G35" s="1">
        <v>0</v>
      </c>
      <c r="H35" s="54">
        <v>1106868.83</v>
      </c>
      <c r="I35" s="1">
        <v>127</v>
      </c>
      <c r="J35" s="1">
        <v>0</v>
      </c>
      <c r="K35" s="54">
        <v>73845.42</v>
      </c>
      <c r="L35" s="1">
        <v>128</v>
      </c>
      <c r="M35" s="1">
        <v>0</v>
      </c>
      <c r="N35" s="54">
        <v>124551.67999999999</v>
      </c>
      <c r="O35" s="1">
        <v>31</v>
      </c>
      <c r="P35" s="1">
        <v>63</v>
      </c>
      <c r="Q35" s="1">
        <v>37</v>
      </c>
      <c r="R35" s="1">
        <v>66</v>
      </c>
      <c r="S35" s="1">
        <v>18</v>
      </c>
      <c r="T35" s="1">
        <v>5</v>
      </c>
      <c r="U35" s="1">
        <v>0</v>
      </c>
      <c r="V35" s="1">
        <v>0</v>
      </c>
      <c r="W35" s="1">
        <v>0</v>
      </c>
      <c r="X35" s="1">
        <v>0</v>
      </c>
      <c r="Y35" s="1">
        <v>0</v>
      </c>
      <c r="Z35" s="1">
        <v>0</v>
      </c>
      <c r="AA35" s="54">
        <v>102509.75999999999</v>
      </c>
      <c r="AB35" s="1">
        <v>66.571428569999995</v>
      </c>
      <c r="AC35" s="1">
        <v>0</v>
      </c>
      <c r="AD35" s="54">
        <v>46608.65</v>
      </c>
      <c r="AE35" s="1">
        <v>79.639031619999997</v>
      </c>
      <c r="AF35" s="1">
        <v>0</v>
      </c>
      <c r="AG35" s="54">
        <v>110570.04</v>
      </c>
      <c r="AH35" s="1">
        <v>4.0199999999999996</v>
      </c>
      <c r="AI35" s="1">
        <v>0</v>
      </c>
      <c r="AJ35" s="54">
        <v>4579.54</v>
      </c>
      <c r="AK35" s="54">
        <v>159487.1</v>
      </c>
      <c r="AL35" s="54">
        <v>37888</v>
      </c>
      <c r="AM35" s="54">
        <v>1834442.95</v>
      </c>
      <c r="AN35" s="54">
        <v>57409.22</v>
      </c>
      <c r="AO35" s="54">
        <v>36296</v>
      </c>
      <c r="AP35" s="54">
        <v>159487.1</v>
      </c>
      <c r="AQ35" s="54">
        <v>1696069.07</v>
      </c>
      <c r="AR35" s="54">
        <v>263</v>
      </c>
      <c r="AS35" s="54">
        <v>6448.9318249999997</v>
      </c>
      <c r="AT35" s="54">
        <v>6481.1764839999996</v>
      </c>
      <c r="AU35" s="54">
        <v>1510114.121</v>
      </c>
      <c r="AV35" s="54">
        <v>37888</v>
      </c>
      <c r="AW35" s="54">
        <v>159487.1</v>
      </c>
      <c r="AX35" s="54">
        <v>1707489.22</v>
      </c>
      <c r="AY35" s="54">
        <v>0</v>
      </c>
      <c r="AZ35" s="54">
        <v>1766909.02</v>
      </c>
      <c r="BA35" s="54">
        <v>2800.66</v>
      </c>
      <c r="BB35" s="28">
        <v>5725.14</v>
      </c>
      <c r="BC35" s="54">
        <v>787.54</v>
      </c>
      <c r="BD35" s="54">
        <v>703.66</v>
      </c>
      <c r="BE35" s="54">
        <v>2050.4</v>
      </c>
      <c r="BF35" s="54">
        <v>6081.3</v>
      </c>
      <c r="BG35" s="54">
        <v>18148.7</v>
      </c>
      <c r="BH35" s="55">
        <v>263</v>
      </c>
      <c r="BI35" s="55">
        <v>1214271</v>
      </c>
      <c r="BJ35" s="55">
        <v>0</v>
      </c>
      <c r="BK35" s="55">
        <v>0</v>
      </c>
      <c r="BL35" s="55">
        <v>67340.240000000005</v>
      </c>
      <c r="BM35" s="55">
        <v>100582.8</v>
      </c>
      <c r="BN35" s="55">
        <v>13672.5</v>
      </c>
      <c r="BO35" s="55">
        <v>24301.7</v>
      </c>
      <c r="BP35" s="55">
        <v>21971.040000000001</v>
      </c>
      <c r="BQ35" s="55">
        <v>34811.480000000003</v>
      </c>
      <c r="BR35" s="55">
        <v>12127</v>
      </c>
      <c r="BS35" s="55">
        <v>1593.16</v>
      </c>
      <c r="BT35" s="55">
        <v>54327.18</v>
      </c>
      <c r="BU35" s="55">
        <v>95102.27</v>
      </c>
      <c r="BV35" s="55">
        <v>5864.83</v>
      </c>
      <c r="BW35" s="55">
        <v>152181.76000000001</v>
      </c>
      <c r="BX35" s="55">
        <v>36296</v>
      </c>
      <c r="BY35" s="55">
        <v>0</v>
      </c>
      <c r="BZ35" s="55">
        <v>1834442.95</v>
      </c>
      <c r="CA35" s="54">
        <v>37209.24</v>
      </c>
      <c r="CB35" s="54">
        <v>0</v>
      </c>
      <c r="CC35" s="54">
        <v>0</v>
      </c>
      <c r="CD35" s="54">
        <v>14343.4</v>
      </c>
      <c r="CE35" s="54">
        <v>5362.01</v>
      </c>
      <c r="CF35" s="28">
        <v>0</v>
      </c>
      <c r="CG35" s="54">
        <v>17131</v>
      </c>
      <c r="CH35" s="54">
        <v>8555.25</v>
      </c>
      <c r="CI35" s="54">
        <v>7613</v>
      </c>
      <c r="CJ35" s="54">
        <v>0</v>
      </c>
      <c r="CK35" s="54"/>
      <c r="CL35" s="54"/>
      <c r="CM35" s="54"/>
      <c r="CN35" s="54"/>
      <c r="CO35" s="54"/>
      <c r="CP35" s="54"/>
      <c r="CQ35" s="54"/>
      <c r="CR35" s="54"/>
    </row>
    <row r="36" spans="1:96">
      <c r="A36" s="1">
        <v>2042896</v>
      </c>
      <c r="B36" s="1" t="s">
        <v>355</v>
      </c>
      <c r="C36" s="1" t="s">
        <v>322</v>
      </c>
      <c r="D36" s="1" t="s">
        <v>14</v>
      </c>
      <c r="E36" s="1">
        <v>229</v>
      </c>
      <c r="F36" s="1">
        <v>0</v>
      </c>
      <c r="G36" s="1">
        <v>0</v>
      </c>
      <c r="H36" s="54">
        <v>1087866.79</v>
      </c>
      <c r="I36" s="1">
        <v>134</v>
      </c>
      <c r="J36" s="1">
        <v>0</v>
      </c>
      <c r="K36" s="54">
        <v>77915.64</v>
      </c>
      <c r="L36" s="1">
        <v>134</v>
      </c>
      <c r="M36" s="1">
        <v>0</v>
      </c>
      <c r="N36" s="54">
        <v>130390.04</v>
      </c>
      <c r="O36" s="1">
        <v>24.31858407</v>
      </c>
      <c r="P36" s="1">
        <v>72.95575221</v>
      </c>
      <c r="Q36" s="1">
        <v>61.809734509999998</v>
      </c>
      <c r="R36" s="1">
        <v>25.331858409999999</v>
      </c>
      <c r="S36" s="1">
        <v>26.34513274</v>
      </c>
      <c r="T36" s="1">
        <v>7.0929203540000003</v>
      </c>
      <c r="U36" s="1">
        <v>0</v>
      </c>
      <c r="V36" s="1">
        <v>0</v>
      </c>
      <c r="W36" s="1">
        <v>0</v>
      </c>
      <c r="X36" s="1">
        <v>0</v>
      </c>
      <c r="Y36" s="1">
        <v>0</v>
      </c>
      <c r="Z36" s="1">
        <v>0</v>
      </c>
      <c r="AA36" s="54">
        <v>100497.64</v>
      </c>
      <c r="AB36" s="1">
        <v>73.564766840000004</v>
      </c>
      <c r="AC36" s="1">
        <v>0</v>
      </c>
      <c r="AD36" s="54">
        <v>51504.9</v>
      </c>
      <c r="AE36" s="1">
        <v>59.033829619999999</v>
      </c>
      <c r="AF36" s="1">
        <v>0</v>
      </c>
      <c r="AG36" s="54">
        <v>81961.98</v>
      </c>
      <c r="AH36" s="1">
        <v>7.26</v>
      </c>
      <c r="AI36" s="1">
        <v>0</v>
      </c>
      <c r="AJ36" s="54">
        <v>8270.52</v>
      </c>
      <c r="AK36" s="54">
        <v>159487.1</v>
      </c>
      <c r="AL36" s="54">
        <v>33024</v>
      </c>
      <c r="AM36" s="54">
        <v>1597269.17</v>
      </c>
      <c r="AN36" s="54">
        <v>51854.6</v>
      </c>
      <c r="AO36" s="54">
        <v>34207</v>
      </c>
      <c r="AP36" s="54">
        <v>159487.1</v>
      </c>
      <c r="AQ36" s="54">
        <v>1455429.67</v>
      </c>
      <c r="AR36" s="54">
        <v>215</v>
      </c>
      <c r="AS36" s="54">
        <v>6769.4403259999999</v>
      </c>
      <c r="AT36" s="54">
        <v>6803.2875270000004</v>
      </c>
      <c r="AU36" s="54">
        <v>1557952.844</v>
      </c>
      <c r="AV36" s="54">
        <v>33024</v>
      </c>
      <c r="AW36" s="54">
        <v>159487.1</v>
      </c>
      <c r="AX36" s="54">
        <v>1750463.94</v>
      </c>
      <c r="AY36" s="54">
        <v>19545.330000000002</v>
      </c>
      <c r="AZ36" s="54">
        <v>1750463.94</v>
      </c>
      <c r="BA36" s="54">
        <v>2752.58</v>
      </c>
      <c r="BB36" s="28">
        <v>6326.57</v>
      </c>
      <c r="BC36" s="54">
        <v>774.02</v>
      </c>
      <c r="BD36" s="54">
        <v>691.58</v>
      </c>
      <c r="BE36" s="54">
        <v>2015.2</v>
      </c>
      <c r="BF36" s="54">
        <v>5976.9</v>
      </c>
      <c r="BG36" s="54">
        <v>18536.849999999999</v>
      </c>
      <c r="BH36" s="55">
        <v>215</v>
      </c>
      <c r="BI36" s="55">
        <v>992655</v>
      </c>
      <c r="BJ36" s="55">
        <v>0</v>
      </c>
      <c r="BK36" s="55">
        <v>0</v>
      </c>
      <c r="BL36" s="55">
        <v>72476.36</v>
      </c>
      <c r="BM36" s="55">
        <v>108964.7</v>
      </c>
      <c r="BN36" s="55">
        <v>6378.35</v>
      </c>
      <c r="BO36" s="55">
        <v>18568.599999999999</v>
      </c>
      <c r="BP36" s="55">
        <v>34483.97</v>
      </c>
      <c r="BQ36" s="55">
        <v>12732.62</v>
      </c>
      <c r="BR36" s="55">
        <v>17832.98</v>
      </c>
      <c r="BS36" s="55">
        <v>7270.67</v>
      </c>
      <c r="BT36" s="55">
        <v>44076.57</v>
      </c>
      <c r="BU36" s="55">
        <v>76839.72</v>
      </c>
      <c r="BV36" s="55">
        <v>0</v>
      </c>
      <c r="BW36" s="55">
        <v>152181.76000000001</v>
      </c>
      <c r="BX36" s="55">
        <v>34207</v>
      </c>
      <c r="BY36" s="55">
        <v>18600.87</v>
      </c>
      <c r="BZ36" s="55">
        <v>1597269.17</v>
      </c>
      <c r="CA36" s="54">
        <v>30418.2</v>
      </c>
      <c r="CB36" s="54">
        <v>0</v>
      </c>
      <c r="CC36" s="54">
        <v>0</v>
      </c>
      <c r="CD36" s="54">
        <v>15703.55</v>
      </c>
      <c r="CE36" s="54">
        <v>5362.01</v>
      </c>
      <c r="CF36" s="28">
        <v>0</v>
      </c>
      <c r="CG36" s="54">
        <v>15482</v>
      </c>
      <c r="CH36" s="54">
        <v>9207.25</v>
      </c>
      <c r="CI36" s="54">
        <v>7471</v>
      </c>
      <c r="CJ36" s="54">
        <v>0</v>
      </c>
      <c r="CK36" s="54"/>
      <c r="CL36" s="54"/>
      <c r="CM36" s="54"/>
      <c r="CN36" s="54"/>
      <c r="CO36" s="54"/>
      <c r="CP36" s="54"/>
      <c r="CQ36" s="54"/>
      <c r="CR36" s="54"/>
    </row>
    <row r="37" spans="1:96">
      <c r="A37" s="1">
        <v>2042897</v>
      </c>
      <c r="B37" s="1" t="s">
        <v>356</v>
      </c>
      <c r="C37" s="1" t="s">
        <v>322</v>
      </c>
      <c r="D37" s="1" t="s">
        <v>14</v>
      </c>
      <c r="E37" s="1">
        <v>413</v>
      </c>
      <c r="F37" s="1">
        <v>0</v>
      </c>
      <c r="G37" s="1">
        <v>0</v>
      </c>
      <c r="H37" s="54">
        <v>1961960.63</v>
      </c>
      <c r="I37" s="1">
        <v>44</v>
      </c>
      <c r="J37" s="1">
        <v>0</v>
      </c>
      <c r="K37" s="54">
        <v>25584.240000000002</v>
      </c>
      <c r="L37" s="1">
        <v>45</v>
      </c>
      <c r="M37" s="1">
        <v>0</v>
      </c>
      <c r="N37" s="54">
        <v>43787.7</v>
      </c>
      <c r="O37" s="1">
        <v>104</v>
      </c>
      <c r="P37" s="1">
        <v>76</v>
      </c>
      <c r="Q37" s="1">
        <v>6</v>
      </c>
      <c r="R37" s="1">
        <v>15</v>
      </c>
      <c r="S37" s="1">
        <v>14</v>
      </c>
      <c r="T37" s="1">
        <v>1</v>
      </c>
      <c r="U37" s="1">
        <v>0</v>
      </c>
      <c r="V37" s="1">
        <v>0</v>
      </c>
      <c r="W37" s="1">
        <v>0</v>
      </c>
      <c r="X37" s="1">
        <v>0</v>
      </c>
      <c r="Y37" s="1">
        <v>0</v>
      </c>
      <c r="Z37" s="1">
        <v>0</v>
      </c>
      <c r="AA37" s="54">
        <v>75869.740000000005</v>
      </c>
      <c r="AB37" s="1">
        <v>92.427762040000005</v>
      </c>
      <c r="AC37" s="1">
        <v>0</v>
      </c>
      <c r="AD37" s="54">
        <v>64711.45</v>
      </c>
      <c r="AE37" s="1">
        <v>97.519111350000003</v>
      </c>
      <c r="AF37" s="1">
        <v>0</v>
      </c>
      <c r="AG37" s="54">
        <v>135394.56</v>
      </c>
      <c r="AH37" s="1">
        <v>0</v>
      </c>
      <c r="AI37" s="1">
        <v>0</v>
      </c>
      <c r="AJ37" s="54">
        <v>0</v>
      </c>
      <c r="AK37" s="54">
        <v>159487.1</v>
      </c>
      <c r="AL37" s="54">
        <v>45312</v>
      </c>
      <c r="AM37" s="54">
        <v>2569656.4</v>
      </c>
      <c r="AN37" s="54">
        <v>69499.31</v>
      </c>
      <c r="AO37" s="54">
        <v>32640</v>
      </c>
      <c r="AP37" s="54">
        <v>159487.1</v>
      </c>
      <c r="AQ37" s="54">
        <v>2447028.61</v>
      </c>
      <c r="AR37" s="54">
        <v>414</v>
      </c>
      <c r="AS37" s="54">
        <v>5910.697126</v>
      </c>
      <c r="AT37" s="54">
        <v>5940.2506110000004</v>
      </c>
      <c r="AU37" s="54">
        <v>2453323.5019999999</v>
      </c>
      <c r="AV37" s="54">
        <v>45312</v>
      </c>
      <c r="AW37" s="54">
        <v>159487.1</v>
      </c>
      <c r="AX37" s="54">
        <v>2658122.6</v>
      </c>
      <c r="AY37" s="54">
        <v>146015.18</v>
      </c>
      <c r="AZ37" s="54">
        <v>2658122.6</v>
      </c>
      <c r="BA37" s="54">
        <v>4964.26</v>
      </c>
      <c r="BB37" s="28">
        <v>7948.79</v>
      </c>
      <c r="BC37" s="54">
        <v>1395.94</v>
      </c>
      <c r="BD37" s="54">
        <v>1247.26</v>
      </c>
      <c r="BE37" s="54">
        <v>3634.4</v>
      </c>
      <c r="BF37" s="54">
        <v>10779.3</v>
      </c>
      <c r="BG37" s="54">
        <v>29969.95</v>
      </c>
      <c r="BH37" s="55">
        <v>414</v>
      </c>
      <c r="BI37" s="55">
        <v>1911438</v>
      </c>
      <c r="BJ37" s="55">
        <v>0</v>
      </c>
      <c r="BK37" s="55">
        <v>0</v>
      </c>
      <c r="BL37" s="55">
        <v>25109.919999999998</v>
      </c>
      <c r="BM37" s="55">
        <v>37718.550000000003</v>
      </c>
      <c r="BN37" s="55">
        <v>27071.55</v>
      </c>
      <c r="BO37" s="55">
        <v>23968.799999999999</v>
      </c>
      <c r="BP37" s="55">
        <v>3661.84</v>
      </c>
      <c r="BQ37" s="55">
        <v>9701.56</v>
      </c>
      <c r="BR37" s="55">
        <v>9095.25</v>
      </c>
      <c r="BS37" s="55">
        <v>0</v>
      </c>
      <c r="BT37" s="55">
        <v>62549.42</v>
      </c>
      <c r="BU37" s="55">
        <v>124541.25</v>
      </c>
      <c r="BV37" s="55">
        <v>1303.29</v>
      </c>
      <c r="BW37" s="55">
        <v>152181.76000000001</v>
      </c>
      <c r="BX37" s="55">
        <v>32640</v>
      </c>
      <c r="BY37" s="55">
        <v>148675.20000000001</v>
      </c>
      <c r="BZ37" s="55">
        <v>2569656.4</v>
      </c>
      <c r="CA37" s="54">
        <v>58572.72</v>
      </c>
      <c r="CB37" s="54">
        <v>0</v>
      </c>
      <c r="CC37" s="54">
        <v>0</v>
      </c>
      <c r="CD37" s="54">
        <v>5564.25</v>
      </c>
      <c r="CE37" s="54">
        <v>5362.01</v>
      </c>
      <c r="CF37" s="28">
        <v>0</v>
      </c>
      <c r="CG37" s="54">
        <v>20977</v>
      </c>
      <c r="CH37" s="54">
        <v>3770</v>
      </c>
      <c r="CI37" s="54">
        <v>8146</v>
      </c>
      <c r="CJ37" s="54">
        <v>0</v>
      </c>
      <c r="CK37" s="54"/>
      <c r="CL37" s="54"/>
      <c r="CM37" s="54"/>
      <c r="CN37" s="54"/>
      <c r="CO37" s="54"/>
      <c r="CP37" s="54"/>
      <c r="CQ37" s="54"/>
      <c r="CR37" s="54"/>
    </row>
    <row r="38" spans="1:96">
      <c r="A38" s="1">
        <v>2042898</v>
      </c>
      <c r="B38" s="1" t="s">
        <v>357</v>
      </c>
      <c r="C38" s="1" t="s">
        <v>322</v>
      </c>
      <c r="D38" s="1" t="s">
        <v>14</v>
      </c>
      <c r="E38" s="1">
        <v>346</v>
      </c>
      <c r="F38" s="1">
        <v>0</v>
      </c>
      <c r="G38" s="1">
        <v>0</v>
      </c>
      <c r="H38" s="54">
        <v>1643676.46</v>
      </c>
      <c r="I38" s="1">
        <v>189</v>
      </c>
      <c r="J38" s="1">
        <v>0</v>
      </c>
      <c r="K38" s="54">
        <v>109895.94</v>
      </c>
      <c r="L38" s="1">
        <v>195</v>
      </c>
      <c r="M38" s="1">
        <v>0</v>
      </c>
      <c r="N38" s="54">
        <v>189746.7</v>
      </c>
      <c r="O38" s="1">
        <v>3.0174418599999999</v>
      </c>
      <c r="P38" s="1">
        <v>74.430232559999993</v>
      </c>
      <c r="Q38" s="1">
        <v>74.430232559999993</v>
      </c>
      <c r="R38" s="1">
        <v>86.5</v>
      </c>
      <c r="S38" s="1">
        <v>94.546511629999998</v>
      </c>
      <c r="T38" s="1">
        <v>3.0174418599999999</v>
      </c>
      <c r="U38" s="1">
        <v>0</v>
      </c>
      <c r="V38" s="1">
        <v>0</v>
      </c>
      <c r="W38" s="1">
        <v>0</v>
      </c>
      <c r="X38" s="1">
        <v>0</v>
      </c>
      <c r="Y38" s="1">
        <v>0</v>
      </c>
      <c r="Z38" s="1">
        <v>0</v>
      </c>
      <c r="AA38" s="54">
        <v>175315.83</v>
      </c>
      <c r="AB38" s="1">
        <v>74.966666669999995</v>
      </c>
      <c r="AC38" s="1">
        <v>0</v>
      </c>
      <c r="AD38" s="54">
        <v>52486.41</v>
      </c>
      <c r="AE38" s="1">
        <v>90.760595649999999</v>
      </c>
      <c r="AF38" s="1">
        <v>0</v>
      </c>
      <c r="AG38" s="54">
        <v>126011.1</v>
      </c>
      <c r="AH38" s="1">
        <v>8.3240579710000002</v>
      </c>
      <c r="AI38" s="1">
        <v>0</v>
      </c>
      <c r="AJ38" s="54">
        <v>9482.68</v>
      </c>
      <c r="AK38" s="54">
        <v>159487.1</v>
      </c>
      <c r="AL38" s="54">
        <v>38656</v>
      </c>
      <c r="AM38" s="54">
        <v>2159203.75</v>
      </c>
      <c r="AN38" s="54">
        <v>69816.75</v>
      </c>
      <c r="AO38" s="54">
        <v>26895</v>
      </c>
      <c r="AP38" s="54">
        <v>159487.1</v>
      </c>
      <c r="AQ38" s="54">
        <v>2042638.4</v>
      </c>
      <c r="AR38" s="54">
        <v>307</v>
      </c>
      <c r="AS38" s="54">
        <v>6653.5452770000002</v>
      </c>
      <c r="AT38" s="54">
        <v>6686.8130030000002</v>
      </c>
      <c r="AU38" s="54">
        <v>2313637.2990000001</v>
      </c>
      <c r="AV38" s="54">
        <v>38656</v>
      </c>
      <c r="AW38" s="54">
        <v>159487.1</v>
      </c>
      <c r="AX38" s="54">
        <v>2511780.4</v>
      </c>
      <c r="AY38" s="54">
        <v>7022.17</v>
      </c>
      <c r="AZ38" s="54">
        <v>2511780.4</v>
      </c>
      <c r="BA38" s="54">
        <v>4158.92</v>
      </c>
      <c r="BB38" s="28">
        <v>6447.13</v>
      </c>
      <c r="BC38" s="54">
        <v>1169.48</v>
      </c>
      <c r="BD38" s="54">
        <v>1044.92</v>
      </c>
      <c r="BE38" s="54">
        <v>3044.8</v>
      </c>
      <c r="BF38" s="54">
        <v>9030.6</v>
      </c>
      <c r="BG38" s="54">
        <v>24895.85</v>
      </c>
      <c r="BH38" s="55">
        <v>307</v>
      </c>
      <c r="BI38" s="55">
        <v>1417419</v>
      </c>
      <c r="BJ38" s="55">
        <v>0</v>
      </c>
      <c r="BK38" s="55">
        <v>0</v>
      </c>
      <c r="BL38" s="55">
        <v>96444.92</v>
      </c>
      <c r="BM38" s="55">
        <v>142492.29999999999</v>
      </c>
      <c r="BN38" s="55">
        <v>1097.3699999999999</v>
      </c>
      <c r="BO38" s="55">
        <v>24047.13</v>
      </c>
      <c r="BP38" s="55">
        <v>29915.279999999999</v>
      </c>
      <c r="BQ38" s="55">
        <v>47521.23</v>
      </c>
      <c r="BR38" s="55">
        <v>48058.19</v>
      </c>
      <c r="BS38" s="55">
        <v>2397.5500000000002</v>
      </c>
      <c r="BT38" s="55">
        <v>50744.09</v>
      </c>
      <c r="BU38" s="55">
        <v>90736.87</v>
      </c>
      <c r="BV38" s="55">
        <v>10866.22</v>
      </c>
      <c r="BW38" s="55">
        <v>152181.76000000001</v>
      </c>
      <c r="BX38" s="55">
        <v>26895</v>
      </c>
      <c r="BY38" s="55">
        <v>18386.82</v>
      </c>
      <c r="BZ38" s="55">
        <v>2159203.75</v>
      </c>
      <c r="CA38" s="54">
        <v>43434.36</v>
      </c>
      <c r="CB38" s="54">
        <v>0</v>
      </c>
      <c r="CC38" s="54">
        <v>0</v>
      </c>
      <c r="CD38" s="54">
        <v>20649.55</v>
      </c>
      <c r="CE38" s="54">
        <v>5362.01</v>
      </c>
      <c r="CF38" s="28">
        <v>0</v>
      </c>
      <c r="CG38" s="54">
        <v>20894</v>
      </c>
      <c r="CH38" s="54">
        <v>12180</v>
      </c>
      <c r="CI38" s="54">
        <v>7779</v>
      </c>
      <c r="CJ38" s="54">
        <v>0</v>
      </c>
      <c r="CK38" s="54"/>
      <c r="CL38" s="54"/>
      <c r="CM38" s="54"/>
      <c r="CN38" s="54"/>
      <c r="CO38" s="54"/>
      <c r="CP38" s="54"/>
      <c r="CQ38" s="54"/>
      <c r="CR38" s="54"/>
    </row>
    <row r="39" spans="1:96">
      <c r="A39" s="1">
        <v>2042899</v>
      </c>
      <c r="B39" s="1" t="s">
        <v>358</v>
      </c>
      <c r="C39" s="1" t="s">
        <v>322</v>
      </c>
      <c r="D39" s="1" t="s">
        <v>14</v>
      </c>
      <c r="E39" s="1">
        <v>411</v>
      </c>
      <c r="F39" s="1">
        <v>0</v>
      </c>
      <c r="G39" s="1">
        <v>0</v>
      </c>
      <c r="H39" s="54">
        <v>1952459.61</v>
      </c>
      <c r="I39" s="1">
        <v>50</v>
      </c>
      <c r="J39" s="1">
        <v>0</v>
      </c>
      <c r="K39" s="54">
        <v>29073</v>
      </c>
      <c r="L39" s="1">
        <v>53</v>
      </c>
      <c r="M39" s="1">
        <v>0</v>
      </c>
      <c r="N39" s="54">
        <v>51572.18</v>
      </c>
      <c r="O39" s="1">
        <v>97.23658537</v>
      </c>
      <c r="P39" s="1">
        <v>85.207317070000002</v>
      </c>
      <c r="Q39" s="1">
        <v>7.0170731709999998</v>
      </c>
      <c r="R39" s="1">
        <v>13.031707320000001</v>
      </c>
      <c r="S39" s="1">
        <v>21.051219509999999</v>
      </c>
      <c r="T39" s="1">
        <v>3.0073170729999998</v>
      </c>
      <c r="U39" s="1">
        <v>0</v>
      </c>
      <c r="V39" s="1">
        <v>0</v>
      </c>
      <c r="W39" s="1">
        <v>0</v>
      </c>
      <c r="X39" s="1">
        <v>0</v>
      </c>
      <c r="Y39" s="1">
        <v>0</v>
      </c>
      <c r="Z39" s="1">
        <v>0</v>
      </c>
      <c r="AA39" s="54">
        <v>82430.78</v>
      </c>
      <c r="AB39" s="1">
        <v>63.23076923</v>
      </c>
      <c r="AC39" s="1">
        <v>0</v>
      </c>
      <c r="AD39" s="54">
        <v>44269.760000000002</v>
      </c>
      <c r="AE39" s="1">
        <v>56.121493780000002</v>
      </c>
      <c r="AF39" s="1">
        <v>0</v>
      </c>
      <c r="AG39" s="54">
        <v>77918.52</v>
      </c>
      <c r="AH39" s="1">
        <v>6.34</v>
      </c>
      <c r="AI39" s="1">
        <v>0</v>
      </c>
      <c r="AJ39" s="54">
        <v>7222.46</v>
      </c>
      <c r="AK39" s="54">
        <v>159487.1</v>
      </c>
      <c r="AL39" s="54">
        <v>45486</v>
      </c>
      <c r="AM39" s="54">
        <v>2492363.7200000002</v>
      </c>
      <c r="AN39" s="54">
        <v>69621.77</v>
      </c>
      <c r="AO39" s="54">
        <v>40969</v>
      </c>
      <c r="AP39" s="54">
        <v>159487.1</v>
      </c>
      <c r="AQ39" s="54">
        <v>2361529.39</v>
      </c>
      <c r="AR39" s="54">
        <v>407</v>
      </c>
      <c r="AS39" s="54">
        <v>5802.2835139999997</v>
      </c>
      <c r="AT39" s="54">
        <v>5831.2949310000004</v>
      </c>
      <c r="AU39" s="54">
        <v>2396662.2170000002</v>
      </c>
      <c r="AV39" s="54">
        <v>45486</v>
      </c>
      <c r="AW39" s="54">
        <v>159487.1</v>
      </c>
      <c r="AX39" s="54">
        <v>2601635.3199999998</v>
      </c>
      <c r="AY39" s="54">
        <v>151715.9</v>
      </c>
      <c r="AZ39" s="54">
        <v>2601635.3199999998</v>
      </c>
      <c r="BA39" s="54">
        <v>4940.22</v>
      </c>
      <c r="BB39" s="28">
        <v>5437.85</v>
      </c>
      <c r="BC39" s="54">
        <v>1389.18</v>
      </c>
      <c r="BD39" s="54">
        <v>1241.22</v>
      </c>
      <c r="BE39" s="54">
        <v>3616.8</v>
      </c>
      <c r="BF39" s="54">
        <v>10727.1</v>
      </c>
      <c r="BG39" s="54">
        <v>27352.370000000003</v>
      </c>
      <c r="BH39" s="55">
        <v>407</v>
      </c>
      <c r="BI39" s="55">
        <v>1879119</v>
      </c>
      <c r="BJ39" s="55">
        <v>0</v>
      </c>
      <c r="BK39" s="55">
        <v>0</v>
      </c>
      <c r="BL39" s="55">
        <v>25680.6</v>
      </c>
      <c r="BM39" s="55">
        <v>45262.26</v>
      </c>
      <c r="BN39" s="55">
        <v>24610.5</v>
      </c>
      <c r="BO39" s="55">
        <v>29295.200000000001</v>
      </c>
      <c r="BP39" s="55">
        <v>4708.08</v>
      </c>
      <c r="BQ39" s="55">
        <v>6277.48</v>
      </c>
      <c r="BR39" s="55">
        <v>11520.65</v>
      </c>
      <c r="BS39" s="55">
        <v>1593.16</v>
      </c>
      <c r="BT39" s="55">
        <v>46910.63</v>
      </c>
      <c r="BU39" s="55">
        <v>79473.440000000002</v>
      </c>
      <c r="BV39" s="55">
        <v>0</v>
      </c>
      <c r="BW39" s="55">
        <v>152181.76000000001</v>
      </c>
      <c r="BX39" s="55">
        <v>40969</v>
      </c>
      <c r="BY39" s="55">
        <v>144761.96</v>
      </c>
      <c r="BZ39" s="55">
        <v>2492363.7200000002</v>
      </c>
      <c r="CA39" s="54">
        <v>57582.36</v>
      </c>
      <c r="CB39" s="54">
        <v>0</v>
      </c>
      <c r="CC39" s="54">
        <v>0</v>
      </c>
      <c r="CD39" s="54">
        <v>6553.45</v>
      </c>
      <c r="CE39" s="54">
        <v>5362.01</v>
      </c>
      <c r="CF39" s="28">
        <v>0</v>
      </c>
      <c r="CG39" s="54">
        <v>20972</v>
      </c>
      <c r="CH39" s="54">
        <v>3697.25</v>
      </c>
      <c r="CI39" s="54">
        <v>8117</v>
      </c>
      <c r="CJ39" s="54">
        <v>0</v>
      </c>
      <c r="CK39" s="54"/>
      <c r="CL39" s="54"/>
      <c r="CM39" s="54"/>
      <c r="CN39" s="54"/>
      <c r="CO39" s="54"/>
      <c r="CP39" s="54"/>
      <c r="CQ39" s="54"/>
      <c r="CR39" s="54"/>
    </row>
    <row r="40" spans="1:96">
      <c r="A40" s="1">
        <v>2042900</v>
      </c>
      <c r="B40" s="1" t="s">
        <v>359</v>
      </c>
      <c r="C40" s="1" t="s">
        <v>322</v>
      </c>
      <c r="D40" s="1" t="s">
        <v>14</v>
      </c>
      <c r="E40" s="1">
        <v>227</v>
      </c>
      <c r="F40" s="1">
        <v>0</v>
      </c>
      <c r="G40" s="1">
        <v>0</v>
      </c>
      <c r="H40" s="54">
        <v>1078365.77</v>
      </c>
      <c r="I40" s="1">
        <v>128</v>
      </c>
      <c r="J40" s="1">
        <v>0</v>
      </c>
      <c r="K40" s="54">
        <v>74426.880000000005</v>
      </c>
      <c r="L40" s="1">
        <v>132</v>
      </c>
      <c r="M40" s="1">
        <v>0</v>
      </c>
      <c r="N40" s="54">
        <v>128443.92</v>
      </c>
      <c r="O40" s="1">
        <v>19</v>
      </c>
      <c r="P40" s="1">
        <v>22</v>
      </c>
      <c r="Q40" s="1">
        <v>13</v>
      </c>
      <c r="R40" s="1">
        <v>74</v>
      </c>
      <c r="S40" s="1">
        <v>88</v>
      </c>
      <c r="T40" s="1">
        <v>7</v>
      </c>
      <c r="U40" s="1">
        <v>0</v>
      </c>
      <c r="V40" s="1">
        <v>0</v>
      </c>
      <c r="W40" s="1">
        <v>0</v>
      </c>
      <c r="X40" s="1">
        <v>0</v>
      </c>
      <c r="Y40" s="1">
        <v>0</v>
      </c>
      <c r="Z40" s="1">
        <v>0</v>
      </c>
      <c r="AA40" s="54">
        <v>121620.88</v>
      </c>
      <c r="AB40" s="1">
        <v>50.804761900000003</v>
      </c>
      <c r="AC40" s="1">
        <v>0</v>
      </c>
      <c r="AD40" s="54">
        <v>35569.94</v>
      </c>
      <c r="AE40" s="1">
        <v>63.995527510000002</v>
      </c>
      <c r="AF40" s="1">
        <v>0</v>
      </c>
      <c r="AG40" s="54">
        <v>88850.75</v>
      </c>
      <c r="AH40" s="1">
        <v>4.38</v>
      </c>
      <c r="AI40" s="1">
        <v>0</v>
      </c>
      <c r="AJ40" s="54">
        <v>4989.6499999999996</v>
      </c>
      <c r="AK40" s="54">
        <v>159487.1</v>
      </c>
      <c r="AL40" s="54">
        <v>4992</v>
      </c>
      <c r="AM40" s="54">
        <v>1818017.9</v>
      </c>
      <c r="AN40" s="54">
        <v>59209.24</v>
      </c>
      <c r="AO40" s="54">
        <v>4622</v>
      </c>
      <c r="AP40" s="54">
        <v>159487.1</v>
      </c>
      <c r="AQ40" s="54">
        <v>1713118.04</v>
      </c>
      <c r="AR40" s="54">
        <v>253</v>
      </c>
      <c r="AS40" s="54">
        <v>6771.217549</v>
      </c>
      <c r="AT40" s="54">
        <v>6805.0736370000004</v>
      </c>
      <c r="AU40" s="54">
        <v>1544751.716</v>
      </c>
      <c r="AV40" s="54">
        <v>4992</v>
      </c>
      <c r="AW40" s="54">
        <v>159487.1</v>
      </c>
      <c r="AX40" s="54">
        <v>1709230.82</v>
      </c>
      <c r="AY40" s="54">
        <v>12483.93</v>
      </c>
      <c r="AZ40" s="54">
        <v>1709230.82</v>
      </c>
      <c r="BA40" s="54">
        <v>2728.54</v>
      </c>
      <c r="BB40" s="28">
        <v>4369.21</v>
      </c>
      <c r="BC40" s="54">
        <v>767.26</v>
      </c>
      <c r="BD40" s="54">
        <v>685.54</v>
      </c>
      <c r="BE40" s="54">
        <v>1997.6</v>
      </c>
      <c r="BF40" s="54">
        <v>5924.7</v>
      </c>
      <c r="BG40" s="54">
        <v>16472.849999999999</v>
      </c>
      <c r="BH40" s="55">
        <v>253</v>
      </c>
      <c r="BI40" s="55">
        <v>1168101</v>
      </c>
      <c r="BJ40" s="55">
        <v>0</v>
      </c>
      <c r="BK40" s="55">
        <v>0</v>
      </c>
      <c r="BL40" s="55">
        <v>79324.52</v>
      </c>
      <c r="BM40" s="55">
        <v>122375.74</v>
      </c>
      <c r="BN40" s="55">
        <v>4922.1000000000004</v>
      </c>
      <c r="BO40" s="55">
        <v>8655.4</v>
      </c>
      <c r="BP40" s="55">
        <v>6800.56</v>
      </c>
      <c r="BQ40" s="55">
        <v>43942.36</v>
      </c>
      <c r="BR40" s="55">
        <v>61847.7</v>
      </c>
      <c r="BS40" s="55">
        <v>11948.7</v>
      </c>
      <c r="BT40" s="55">
        <v>40027.9</v>
      </c>
      <c r="BU40" s="55">
        <v>102233.8</v>
      </c>
      <c r="BV40" s="55">
        <v>3168.35</v>
      </c>
      <c r="BW40" s="55">
        <v>152181.76000000001</v>
      </c>
      <c r="BX40" s="55">
        <v>4622</v>
      </c>
      <c r="BY40" s="55">
        <v>7866.01</v>
      </c>
      <c r="BZ40" s="55">
        <v>1818017.9</v>
      </c>
      <c r="CA40" s="54">
        <v>35794.44</v>
      </c>
      <c r="CB40" s="54">
        <v>0</v>
      </c>
      <c r="CC40" s="54">
        <v>0</v>
      </c>
      <c r="CD40" s="54">
        <v>18052.900000000001</v>
      </c>
      <c r="CE40" s="54">
        <v>5362.01</v>
      </c>
      <c r="CF40" s="28">
        <v>0</v>
      </c>
      <c r="CG40" s="54">
        <v>17809</v>
      </c>
      <c r="CH40" s="54">
        <v>10585.5</v>
      </c>
      <c r="CI40" s="54">
        <v>7658</v>
      </c>
      <c r="CJ40" s="54">
        <v>0</v>
      </c>
      <c r="CK40" s="54"/>
      <c r="CL40" s="54"/>
      <c r="CM40" s="54"/>
      <c r="CN40" s="54"/>
      <c r="CO40" s="54"/>
      <c r="CP40" s="54"/>
      <c r="CQ40" s="54"/>
      <c r="CR40" s="54"/>
    </row>
    <row r="41" spans="1:96">
      <c r="A41" s="1">
        <v>2043000</v>
      </c>
      <c r="B41" s="1" t="s">
        <v>360</v>
      </c>
      <c r="C41" s="1" t="s">
        <v>322</v>
      </c>
      <c r="D41" s="1" t="s">
        <v>14</v>
      </c>
      <c r="E41" s="1">
        <v>202</v>
      </c>
      <c r="F41" s="1">
        <v>0</v>
      </c>
      <c r="G41" s="1">
        <v>0</v>
      </c>
      <c r="H41" s="54">
        <v>959603.02</v>
      </c>
      <c r="I41" s="1">
        <v>72</v>
      </c>
      <c r="J41" s="1">
        <v>0</v>
      </c>
      <c r="K41" s="54">
        <v>41865.120000000003</v>
      </c>
      <c r="L41" s="1">
        <v>72</v>
      </c>
      <c r="M41" s="1">
        <v>0</v>
      </c>
      <c r="N41" s="54">
        <v>70060.320000000007</v>
      </c>
      <c r="O41" s="1">
        <v>12</v>
      </c>
      <c r="P41" s="1">
        <v>32</v>
      </c>
      <c r="Q41" s="1">
        <v>47</v>
      </c>
      <c r="R41" s="1">
        <v>46</v>
      </c>
      <c r="S41" s="1">
        <v>50</v>
      </c>
      <c r="T41" s="1">
        <v>3</v>
      </c>
      <c r="U41" s="1">
        <v>0</v>
      </c>
      <c r="V41" s="1">
        <v>0</v>
      </c>
      <c r="W41" s="1">
        <v>0</v>
      </c>
      <c r="X41" s="1">
        <v>0</v>
      </c>
      <c r="Y41" s="1">
        <v>0</v>
      </c>
      <c r="Z41" s="1">
        <v>0</v>
      </c>
      <c r="AA41" s="54">
        <v>98439.33</v>
      </c>
      <c r="AB41" s="1">
        <v>25.837209300000001</v>
      </c>
      <c r="AC41" s="1">
        <v>0</v>
      </c>
      <c r="AD41" s="54">
        <v>18089.41</v>
      </c>
      <c r="AE41" s="1">
        <v>59.938863570000002</v>
      </c>
      <c r="AF41" s="1">
        <v>0</v>
      </c>
      <c r="AG41" s="54">
        <v>83218.52</v>
      </c>
      <c r="AH41" s="1">
        <v>1.88</v>
      </c>
      <c r="AI41" s="1">
        <v>0</v>
      </c>
      <c r="AJ41" s="54">
        <v>2141.6799999999998</v>
      </c>
      <c r="AK41" s="54">
        <v>159487.1</v>
      </c>
      <c r="AL41" s="54">
        <v>5683.2</v>
      </c>
      <c r="AM41" s="54">
        <v>1359485.82</v>
      </c>
      <c r="AN41" s="54">
        <v>43001.93</v>
      </c>
      <c r="AO41" s="54">
        <v>5484</v>
      </c>
      <c r="AP41" s="54">
        <v>159487.1</v>
      </c>
      <c r="AQ41" s="54">
        <v>1237516.6499999999</v>
      </c>
      <c r="AR41" s="54">
        <v>197</v>
      </c>
      <c r="AS41" s="54">
        <v>6281.8104059999996</v>
      </c>
      <c r="AT41" s="54">
        <v>6313.2194579999996</v>
      </c>
      <c r="AU41" s="54">
        <v>1275270.331</v>
      </c>
      <c r="AV41" s="54">
        <v>5683.2</v>
      </c>
      <c r="AW41" s="54">
        <v>159487.1</v>
      </c>
      <c r="AX41" s="54">
        <v>1440440.63</v>
      </c>
      <c r="AY41" s="54">
        <v>1852.94</v>
      </c>
      <c r="AZ41" s="54">
        <v>1440440.63</v>
      </c>
      <c r="BA41" s="54">
        <v>2428.04</v>
      </c>
      <c r="BB41" s="28">
        <v>2222</v>
      </c>
      <c r="BC41" s="54">
        <v>682.76</v>
      </c>
      <c r="BD41" s="54">
        <v>610.04</v>
      </c>
      <c r="BE41" s="54">
        <v>1777.6</v>
      </c>
      <c r="BF41" s="54">
        <v>5272.2</v>
      </c>
      <c r="BG41" s="54">
        <v>12992.64</v>
      </c>
      <c r="BH41" s="55">
        <v>197</v>
      </c>
      <c r="BI41" s="55">
        <v>909549</v>
      </c>
      <c r="BJ41" s="55">
        <v>0</v>
      </c>
      <c r="BK41" s="55">
        <v>0</v>
      </c>
      <c r="BL41" s="55">
        <v>45083.72</v>
      </c>
      <c r="BM41" s="55">
        <v>66217.009999999995</v>
      </c>
      <c r="BN41" s="55">
        <v>1914.15</v>
      </c>
      <c r="BO41" s="55">
        <v>13316</v>
      </c>
      <c r="BP41" s="55">
        <v>24063.52</v>
      </c>
      <c r="BQ41" s="55">
        <v>25680.6</v>
      </c>
      <c r="BR41" s="55">
        <v>26679.4</v>
      </c>
      <c r="BS41" s="55">
        <v>2389.7399999999998</v>
      </c>
      <c r="BT41" s="55">
        <v>21963.01</v>
      </c>
      <c r="BU41" s="55">
        <v>64963.91</v>
      </c>
      <c r="BV41" s="55">
        <v>0</v>
      </c>
      <c r="BW41" s="55">
        <v>152181.76000000001</v>
      </c>
      <c r="BX41" s="55">
        <v>5484</v>
      </c>
      <c r="BY41" s="55">
        <v>0</v>
      </c>
      <c r="BZ41" s="55">
        <v>1359485.82</v>
      </c>
      <c r="CA41" s="54">
        <v>27871.56</v>
      </c>
      <c r="CB41" s="54">
        <v>0</v>
      </c>
      <c r="CC41" s="54">
        <v>0</v>
      </c>
      <c r="CD41" s="54">
        <v>9397.4</v>
      </c>
      <c r="CE41" s="54">
        <v>5362.01</v>
      </c>
      <c r="CF41" s="28">
        <v>0</v>
      </c>
      <c r="CG41" s="54">
        <v>12832</v>
      </c>
      <c r="CH41" s="54">
        <v>5800</v>
      </c>
      <c r="CI41" s="54">
        <v>7392</v>
      </c>
      <c r="CJ41" s="54">
        <v>0</v>
      </c>
      <c r="CK41" s="54"/>
      <c r="CL41" s="54"/>
      <c r="CM41" s="54"/>
      <c r="CN41" s="54"/>
      <c r="CO41" s="54"/>
      <c r="CP41" s="54"/>
      <c r="CQ41" s="54"/>
      <c r="CR41" s="54"/>
    </row>
    <row r="42" spans="1:96">
      <c r="A42" s="1">
        <v>2043358</v>
      </c>
      <c r="B42" s="1" t="s">
        <v>361</v>
      </c>
      <c r="C42" s="1" t="s">
        <v>322</v>
      </c>
      <c r="D42" s="1" t="s">
        <v>14</v>
      </c>
      <c r="E42" s="1">
        <v>209</v>
      </c>
      <c r="F42" s="1">
        <v>0</v>
      </c>
      <c r="G42" s="1">
        <v>0</v>
      </c>
      <c r="H42" s="54">
        <v>992856.59</v>
      </c>
      <c r="I42" s="1">
        <v>103</v>
      </c>
      <c r="J42" s="1">
        <v>0</v>
      </c>
      <c r="K42" s="54">
        <v>59890.38</v>
      </c>
      <c r="L42" s="1">
        <v>103</v>
      </c>
      <c r="M42" s="1">
        <v>0</v>
      </c>
      <c r="N42" s="54">
        <v>100225.18</v>
      </c>
      <c r="O42" s="1">
        <v>36</v>
      </c>
      <c r="P42" s="1">
        <v>42</v>
      </c>
      <c r="Q42" s="1">
        <v>35</v>
      </c>
      <c r="R42" s="1">
        <v>26</v>
      </c>
      <c r="S42" s="1">
        <v>47</v>
      </c>
      <c r="T42" s="1">
        <v>12</v>
      </c>
      <c r="U42" s="1">
        <v>0</v>
      </c>
      <c r="V42" s="1">
        <v>0</v>
      </c>
      <c r="W42" s="1">
        <v>0</v>
      </c>
      <c r="X42" s="1">
        <v>0</v>
      </c>
      <c r="Y42" s="1">
        <v>0</v>
      </c>
      <c r="Z42" s="1">
        <v>0</v>
      </c>
      <c r="AA42" s="54">
        <v>96095.87</v>
      </c>
      <c r="AB42" s="1">
        <v>26.558011050000001</v>
      </c>
      <c r="AC42" s="1">
        <v>0</v>
      </c>
      <c r="AD42" s="54">
        <v>18594.060000000001</v>
      </c>
      <c r="AE42" s="1">
        <v>45.471910110000003</v>
      </c>
      <c r="AF42" s="1">
        <v>0</v>
      </c>
      <c r="AG42" s="54">
        <v>63132.75</v>
      </c>
      <c r="AH42" s="1">
        <v>0</v>
      </c>
      <c r="AI42" s="1">
        <v>0</v>
      </c>
      <c r="AJ42" s="54">
        <v>0</v>
      </c>
      <c r="AK42" s="54">
        <v>159487.1</v>
      </c>
      <c r="AL42" s="54">
        <v>15960</v>
      </c>
      <c r="AM42" s="54">
        <v>1588947.81</v>
      </c>
      <c r="AN42" s="54">
        <v>50903.47</v>
      </c>
      <c r="AO42" s="54">
        <v>12681</v>
      </c>
      <c r="AP42" s="54">
        <v>159487.1</v>
      </c>
      <c r="AQ42" s="54">
        <v>1467683.18</v>
      </c>
      <c r="AR42" s="54">
        <v>231</v>
      </c>
      <c r="AS42" s="54">
        <v>6353.6068400000004</v>
      </c>
      <c r="AT42" s="54">
        <v>6385.3748740000001</v>
      </c>
      <c r="AU42" s="54">
        <v>1334543.3489999999</v>
      </c>
      <c r="AV42" s="54">
        <v>15960</v>
      </c>
      <c r="AW42" s="54">
        <v>159487.1</v>
      </c>
      <c r="AX42" s="54">
        <v>1509990.45</v>
      </c>
      <c r="AY42" s="54">
        <v>3748.52</v>
      </c>
      <c r="AZ42" s="54">
        <v>1509990.45</v>
      </c>
      <c r="BA42" s="54">
        <v>2512.1799999999998</v>
      </c>
      <c r="BB42" s="28">
        <v>2283.9899999999998</v>
      </c>
      <c r="BC42" s="54">
        <v>706.42</v>
      </c>
      <c r="BD42" s="54">
        <v>631.17999999999995</v>
      </c>
      <c r="BE42" s="54">
        <v>1839.2</v>
      </c>
      <c r="BF42" s="54">
        <v>5454.9</v>
      </c>
      <c r="BG42" s="54">
        <v>13427.869999999999</v>
      </c>
      <c r="BH42" s="55">
        <v>231</v>
      </c>
      <c r="BI42" s="55">
        <v>1066527</v>
      </c>
      <c r="BJ42" s="55">
        <v>0</v>
      </c>
      <c r="BK42" s="55">
        <v>0</v>
      </c>
      <c r="BL42" s="55">
        <v>58780.04</v>
      </c>
      <c r="BM42" s="55">
        <v>87171.76</v>
      </c>
      <c r="BN42" s="55">
        <v>10664.55</v>
      </c>
      <c r="BO42" s="55">
        <v>14647.6</v>
      </c>
      <c r="BP42" s="55">
        <v>20924.8</v>
      </c>
      <c r="BQ42" s="55">
        <v>15979.04</v>
      </c>
      <c r="BR42" s="55">
        <v>30923.85</v>
      </c>
      <c r="BS42" s="55">
        <v>12745.28</v>
      </c>
      <c r="BT42" s="55">
        <v>27463.91</v>
      </c>
      <c r="BU42" s="55">
        <v>68992.289999999994</v>
      </c>
      <c r="BV42" s="55">
        <v>0</v>
      </c>
      <c r="BW42" s="55">
        <v>152181.76000000001</v>
      </c>
      <c r="BX42" s="55">
        <v>12681</v>
      </c>
      <c r="BY42" s="55">
        <v>9264.93</v>
      </c>
      <c r="BZ42" s="55">
        <v>1588947.81</v>
      </c>
      <c r="CA42" s="54">
        <v>32681.88</v>
      </c>
      <c r="CB42" s="54">
        <v>0</v>
      </c>
      <c r="CC42" s="54">
        <v>0</v>
      </c>
      <c r="CD42" s="54">
        <v>12365</v>
      </c>
      <c r="CE42" s="54">
        <v>5362.01</v>
      </c>
      <c r="CF42" s="28">
        <v>0</v>
      </c>
      <c r="CG42" s="54">
        <v>15172</v>
      </c>
      <c r="CH42" s="54">
        <v>7467.75</v>
      </c>
      <c r="CI42" s="54">
        <v>7454</v>
      </c>
      <c r="CJ42" s="54">
        <v>0</v>
      </c>
      <c r="CK42" s="54"/>
      <c r="CL42" s="54"/>
      <c r="CM42" s="54"/>
      <c r="CN42" s="54"/>
      <c r="CO42" s="54"/>
      <c r="CP42" s="54"/>
      <c r="CQ42" s="54"/>
      <c r="CR42" s="54"/>
    </row>
    <row r="43" spans="1:96">
      <c r="A43" s="1">
        <v>2043371</v>
      </c>
      <c r="B43" s="1" t="s">
        <v>362</v>
      </c>
      <c r="C43" s="1" t="s">
        <v>322</v>
      </c>
      <c r="D43" s="1" t="s">
        <v>14</v>
      </c>
      <c r="E43" s="1">
        <v>204</v>
      </c>
      <c r="F43" s="1">
        <v>0</v>
      </c>
      <c r="G43" s="1">
        <v>0</v>
      </c>
      <c r="H43" s="54">
        <v>969104.04</v>
      </c>
      <c r="I43" s="1">
        <v>48</v>
      </c>
      <c r="J43" s="1">
        <v>0</v>
      </c>
      <c r="K43" s="54">
        <v>27910.080000000002</v>
      </c>
      <c r="L43" s="1">
        <v>49</v>
      </c>
      <c r="M43" s="1">
        <v>0</v>
      </c>
      <c r="N43" s="54">
        <v>47679.94</v>
      </c>
      <c r="O43" s="1">
        <v>13.064039409999999</v>
      </c>
      <c r="P43" s="1">
        <v>27.133004929999998</v>
      </c>
      <c r="Q43" s="1">
        <v>26.128078819999999</v>
      </c>
      <c r="R43" s="1">
        <v>41.201970439999997</v>
      </c>
      <c r="S43" s="1">
        <v>42.206896550000003</v>
      </c>
      <c r="T43" s="1">
        <v>10.049261080000001</v>
      </c>
      <c r="U43" s="1">
        <v>0</v>
      </c>
      <c r="V43" s="1">
        <v>0</v>
      </c>
      <c r="W43" s="1">
        <v>0</v>
      </c>
      <c r="X43" s="1">
        <v>0</v>
      </c>
      <c r="Y43" s="1">
        <v>0</v>
      </c>
      <c r="Z43" s="1">
        <v>0</v>
      </c>
      <c r="AA43" s="54">
        <v>84232.67</v>
      </c>
      <c r="AB43" s="1">
        <v>17.687861269999999</v>
      </c>
      <c r="AC43" s="1">
        <v>0</v>
      </c>
      <c r="AD43" s="54">
        <v>12383.8</v>
      </c>
      <c r="AE43" s="1">
        <v>37.225424699999998</v>
      </c>
      <c r="AF43" s="1">
        <v>0</v>
      </c>
      <c r="AG43" s="54">
        <v>51683.41</v>
      </c>
      <c r="AH43" s="1">
        <v>0</v>
      </c>
      <c r="AI43" s="1">
        <v>0</v>
      </c>
      <c r="AJ43" s="54">
        <v>0</v>
      </c>
      <c r="AK43" s="54">
        <v>159487.1</v>
      </c>
      <c r="AL43" s="54">
        <v>5836.8</v>
      </c>
      <c r="AM43" s="54">
        <v>1308797.6000000001</v>
      </c>
      <c r="AN43" s="54">
        <v>38249.83</v>
      </c>
      <c r="AO43" s="54">
        <v>5536</v>
      </c>
      <c r="AP43" s="54">
        <v>159487.1</v>
      </c>
      <c r="AQ43" s="54">
        <v>1182024.33</v>
      </c>
      <c r="AR43" s="54">
        <v>194</v>
      </c>
      <c r="AS43" s="54">
        <v>6092.9089180000001</v>
      </c>
      <c r="AT43" s="54">
        <v>6123.3734619999996</v>
      </c>
      <c r="AU43" s="54">
        <v>1249168.186</v>
      </c>
      <c r="AV43" s="54">
        <v>5836.8</v>
      </c>
      <c r="AW43" s="54">
        <v>159487.1</v>
      </c>
      <c r="AX43" s="54">
        <v>1414492.09</v>
      </c>
      <c r="AY43" s="54">
        <v>56174.25</v>
      </c>
      <c r="AZ43" s="54">
        <v>1414492.09</v>
      </c>
      <c r="BA43" s="54">
        <v>2452.08</v>
      </c>
      <c r="BB43" s="28">
        <v>1521.16</v>
      </c>
      <c r="BC43" s="54">
        <v>689.52</v>
      </c>
      <c r="BD43" s="54">
        <v>616.08000000000004</v>
      </c>
      <c r="BE43" s="54">
        <v>1795.2</v>
      </c>
      <c r="BF43" s="54">
        <v>5324.4</v>
      </c>
      <c r="BG43" s="54">
        <v>12398.439999999999</v>
      </c>
      <c r="BH43" s="55">
        <v>194</v>
      </c>
      <c r="BI43" s="55">
        <v>895698</v>
      </c>
      <c r="BJ43" s="55">
        <v>0</v>
      </c>
      <c r="BK43" s="55">
        <v>0</v>
      </c>
      <c r="BL43" s="55">
        <v>23397.88</v>
      </c>
      <c r="BM43" s="55">
        <v>36880.36</v>
      </c>
      <c r="BN43" s="55">
        <v>4947.6000000000004</v>
      </c>
      <c r="BO43" s="55">
        <v>10038.75</v>
      </c>
      <c r="BP43" s="55">
        <v>11042.44</v>
      </c>
      <c r="BQ43" s="55">
        <v>17209.11</v>
      </c>
      <c r="BR43" s="55">
        <v>22551.19</v>
      </c>
      <c r="BS43" s="55">
        <v>7206.37</v>
      </c>
      <c r="BT43" s="55">
        <v>9612.69</v>
      </c>
      <c r="BU43" s="55">
        <v>40924.28</v>
      </c>
      <c r="BV43" s="55">
        <v>0</v>
      </c>
      <c r="BW43" s="55">
        <v>152181.76000000001</v>
      </c>
      <c r="BX43" s="55">
        <v>5536</v>
      </c>
      <c r="BY43" s="55">
        <v>71571.179999999993</v>
      </c>
      <c r="BZ43" s="55">
        <v>1308797.6000000001</v>
      </c>
      <c r="CA43" s="54">
        <v>27447.119999999999</v>
      </c>
      <c r="CB43" s="54">
        <v>0</v>
      </c>
      <c r="CC43" s="54">
        <v>0</v>
      </c>
      <c r="CD43" s="54">
        <v>5440.6</v>
      </c>
      <c r="CE43" s="54">
        <v>5362.01</v>
      </c>
      <c r="CF43" s="28">
        <v>0</v>
      </c>
      <c r="CG43" s="54">
        <v>11524</v>
      </c>
      <c r="CH43" s="54">
        <v>3190</v>
      </c>
      <c r="CI43" s="54">
        <v>7367</v>
      </c>
      <c r="CJ43" s="54">
        <v>0</v>
      </c>
      <c r="CK43" s="54"/>
      <c r="CL43" s="54"/>
      <c r="CM43" s="54"/>
      <c r="CN43" s="54"/>
      <c r="CO43" s="54"/>
      <c r="CP43" s="54"/>
      <c r="CQ43" s="54"/>
      <c r="CR43" s="54"/>
    </row>
    <row r="44" spans="1:96">
      <c r="A44" s="1">
        <v>2043458</v>
      </c>
      <c r="B44" s="1" t="s">
        <v>363</v>
      </c>
      <c r="C44" s="1" t="s">
        <v>322</v>
      </c>
      <c r="D44" s="1" t="s">
        <v>14</v>
      </c>
      <c r="E44" s="1">
        <v>242</v>
      </c>
      <c r="F44" s="1">
        <v>0</v>
      </c>
      <c r="G44" s="1">
        <v>0</v>
      </c>
      <c r="H44" s="54">
        <v>1149623.42</v>
      </c>
      <c r="I44" s="1">
        <v>137</v>
      </c>
      <c r="J44" s="1">
        <v>0</v>
      </c>
      <c r="K44" s="54">
        <v>79660.02</v>
      </c>
      <c r="L44" s="1">
        <v>137</v>
      </c>
      <c r="M44" s="1">
        <v>0</v>
      </c>
      <c r="N44" s="54">
        <v>133309.22</v>
      </c>
      <c r="O44" s="1">
        <v>5.0416666670000003</v>
      </c>
      <c r="P44" s="1">
        <v>15.125</v>
      </c>
      <c r="Q44" s="1">
        <v>55.458333330000002</v>
      </c>
      <c r="R44" s="1">
        <v>96.8</v>
      </c>
      <c r="S44" s="1">
        <v>64.533333330000005</v>
      </c>
      <c r="T44" s="1">
        <v>0</v>
      </c>
      <c r="U44" s="1">
        <v>0</v>
      </c>
      <c r="V44" s="1">
        <v>0</v>
      </c>
      <c r="W44" s="1">
        <v>0</v>
      </c>
      <c r="X44" s="1">
        <v>0</v>
      </c>
      <c r="Y44" s="1">
        <v>0</v>
      </c>
      <c r="Z44" s="1">
        <v>0</v>
      </c>
      <c r="AA44" s="54">
        <v>130956.13</v>
      </c>
      <c r="AB44" s="1">
        <v>51.537037040000001</v>
      </c>
      <c r="AC44" s="1">
        <v>0</v>
      </c>
      <c r="AD44" s="54">
        <v>36082.629999999997</v>
      </c>
      <c r="AE44" s="1">
        <v>57.965880720000001</v>
      </c>
      <c r="AF44" s="1">
        <v>0</v>
      </c>
      <c r="AG44" s="54">
        <v>80479.25</v>
      </c>
      <c r="AH44" s="1">
        <v>0</v>
      </c>
      <c r="AI44" s="1">
        <v>0</v>
      </c>
      <c r="AJ44" s="54">
        <v>0</v>
      </c>
      <c r="AK44" s="54">
        <v>159487.1</v>
      </c>
      <c r="AL44" s="54">
        <v>7065.6</v>
      </c>
      <c r="AM44" s="54">
        <v>1983496.37</v>
      </c>
      <c r="AN44" s="54">
        <v>64142.05</v>
      </c>
      <c r="AO44" s="54">
        <v>5484</v>
      </c>
      <c r="AP44" s="54">
        <v>159487.1</v>
      </c>
      <c r="AQ44" s="54">
        <v>1882667.32</v>
      </c>
      <c r="AR44" s="54">
        <v>280</v>
      </c>
      <c r="AS44" s="54">
        <v>6723.8118569999997</v>
      </c>
      <c r="AT44" s="54">
        <v>6757.4309160000003</v>
      </c>
      <c r="AU44" s="54">
        <v>1635298.2819999999</v>
      </c>
      <c r="AV44" s="54">
        <v>7065.6</v>
      </c>
      <c r="AW44" s="54">
        <v>159487.1</v>
      </c>
      <c r="AX44" s="54">
        <v>1801850.98</v>
      </c>
      <c r="AY44" s="54">
        <v>25187.61</v>
      </c>
      <c r="AZ44" s="54">
        <v>1801850.98</v>
      </c>
      <c r="BA44" s="54">
        <v>2908.84</v>
      </c>
      <c r="BB44" s="28">
        <v>4432.1899999999996</v>
      </c>
      <c r="BC44" s="54">
        <v>817.96</v>
      </c>
      <c r="BD44" s="54">
        <v>730.84</v>
      </c>
      <c r="BE44" s="54">
        <v>2129.6</v>
      </c>
      <c r="BF44" s="54">
        <v>6316.2</v>
      </c>
      <c r="BG44" s="54">
        <v>17335.63</v>
      </c>
      <c r="BH44" s="55">
        <v>280</v>
      </c>
      <c r="BI44" s="55">
        <v>1292760</v>
      </c>
      <c r="BJ44" s="55">
        <v>0</v>
      </c>
      <c r="BK44" s="55">
        <v>0</v>
      </c>
      <c r="BL44" s="55">
        <v>86743.360000000001</v>
      </c>
      <c r="BM44" s="55">
        <v>129919.45</v>
      </c>
      <c r="BN44" s="55">
        <v>1372.15</v>
      </c>
      <c r="BO44" s="55">
        <v>5011.3999999999996</v>
      </c>
      <c r="BP44" s="55">
        <v>28349.73</v>
      </c>
      <c r="BQ44" s="55">
        <v>64717.98</v>
      </c>
      <c r="BR44" s="55">
        <v>51115.96</v>
      </c>
      <c r="BS44" s="55">
        <v>2398.31</v>
      </c>
      <c r="BT44" s="55">
        <v>42286.03</v>
      </c>
      <c r="BU44" s="55">
        <v>96545.600000000006</v>
      </c>
      <c r="BV44" s="55">
        <v>0</v>
      </c>
      <c r="BW44" s="55">
        <v>152181.76000000001</v>
      </c>
      <c r="BX44" s="55">
        <v>5484</v>
      </c>
      <c r="BY44" s="55">
        <v>24610.66</v>
      </c>
      <c r="BZ44" s="55">
        <v>1983496.37</v>
      </c>
      <c r="CA44" s="54">
        <v>39614.400000000001</v>
      </c>
      <c r="CB44" s="54">
        <v>0</v>
      </c>
      <c r="CC44" s="54">
        <v>0</v>
      </c>
      <c r="CD44" s="54">
        <v>19042.099999999999</v>
      </c>
      <c r="CE44" s="54">
        <v>5362.01</v>
      </c>
      <c r="CF44" s="28">
        <v>0</v>
      </c>
      <c r="CG44" s="54">
        <v>19260</v>
      </c>
      <c r="CH44" s="54">
        <v>11237.75</v>
      </c>
      <c r="CI44" s="54">
        <v>7671</v>
      </c>
      <c r="CJ44" s="54">
        <v>0</v>
      </c>
      <c r="CK44" s="54"/>
      <c r="CL44" s="54"/>
      <c r="CM44" s="54"/>
      <c r="CN44" s="54"/>
      <c r="CO44" s="54"/>
      <c r="CP44" s="54"/>
      <c r="CQ44" s="54"/>
      <c r="CR44" s="54"/>
    </row>
    <row r="45" spans="1:96">
      <c r="A45" s="1">
        <v>2043543</v>
      </c>
      <c r="B45" s="1" t="s">
        <v>364</v>
      </c>
      <c r="C45" s="1" t="s">
        <v>322</v>
      </c>
      <c r="D45" s="1" t="s">
        <v>14</v>
      </c>
      <c r="E45" s="1">
        <v>142</v>
      </c>
      <c r="F45" s="1">
        <v>0</v>
      </c>
      <c r="G45" s="1">
        <v>0</v>
      </c>
      <c r="H45" s="54">
        <v>674572.42</v>
      </c>
      <c r="I45" s="1">
        <v>76</v>
      </c>
      <c r="J45" s="1">
        <v>0</v>
      </c>
      <c r="K45" s="54">
        <v>44190.96</v>
      </c>
      <c r="L45" s="1">
        <v>78</v>
      </c>
      <c r="M45" s="1">
        <v>0</v>
      </c>
      <c r="N45" s="54">
        <v>75898.679999999993</v>
      </c>
      <c r="O45" s="1">
        <v>10</v>
      </c>
      <c r="P45" s="1">
        <v>37</v>
      </c>
      <c r="Q45" s="1">
        <v>12</v>
      </c>
      <c r="R45" s="1">
        <v>23</v>
      </c>
      <c r="S45" s="1">
        <v>36</v>
      </c>
      <c r="T45" s="1">
        <v>1</v>
      </c>
      <c r="U45" s="1">
        <v>0</v>
      </c>
      <c r="V45" s="1">
        <v>0</v>
      </c>
      <c r="W45" s="1">
        <v>0</v>
      </c>
      <c r="X45" s="1">
        <v>0</v>
      </c>
      <c r="Y45" s="1">
        <v>0</v>
      </c>
      <c r="Z45" s="1">
        <v>0</v>
      </c>
      <c r="AA45" s="54">
        <v>57683.62</v>
      </c>
      <c r="AB45" s="1">
        <v>34.08</v>
      </c>
      <c r="AC45" s="1">
        <v>0</v>
      </c>
      <c r="AD45" s="54">
        <v>23860.43</v>
      </c>
      <c r="AE45" s="1">
        <v>39.083427499999999</v>
      </c>
      <c r="AF45" s="1">
        <v>0</v>
      </c>
      <c r="AG45" s="54">
        <v>54263.040000000001</v>
      </c>
      <c r="AH45" s="1">
        <v>6.48</v>
      </c>
      <c r="AI45" s="1">
        <v>0</v>
      </c>
      <c r="AJ45" s="54">
        <v>7381.95</v>
      </c>
      <c r="AK45" s="54">
        <v>159487.1</v>
      </c>
      <c r="AL45" s="54">
        <v>7526.4</v>
      </c>
      <c r="AM45" s="54">
        <v>1046855.58</v>
      </c>
      <c r="AN45" s="54">
        <v>35537.910000000003</v>
      </c>
      <c r="AO45" s="54">
        <v>3786</v>
      </c>
      <c r="AP45" s="54">
        <v>159487.1</v>
      </c>
      <c r="AQ45" s="54">
        <v>919120.39</v>
      </c>
      <c r="AR45" s="54">
        <v>139</v>
      </c>
      <c r="AS45" s="54">
        <v>6612.3769060000004</v>
      </c>
      <c r="AT45" s="54">
        <v>6645.4387909999996</v>
      </c>
      <c r="AU45" s="54">
        <v>943652.30830000003</v>
      </c>
      <c r="AV45" s="54">
        <v>7526.4</v>
      </c>
      <c r="AW45" s="54">
        <v>159487.1</v>
      </c>
      <c r="AX45" s="54">
        <v>1110665.81</v>
      </c>
      <c r="AY45" s="54">
        <v>5801.21</v>
      </c>
      <c r="AZ45" s="54">
        <v>1110665.81</v>
      </c>
      <c r="BA45" s="54">
        <v>1706.84</v>
      </c>
      <c r="BB45" s="28">
        <v>2930.88</v>
      </c>
      <c r="BC45" s="54">
        <v>479.96</v>
      </c>
      <c r="BD45" s="54">
        <v>428.84</v>
      </c>
      <c r="BE45" s="54">
        <v>1249.5999999999999</v>
      </c>
      <c r="BF45" s="54">
        <v>3706.2</v>
      </c>
      <c r="BG45" s="54">
        <v>10502.32</v>
      </c>
      <c r="BH45" s="55">
        <v>139</v>
      </c>
      <c r="BI45" s="55">
        <v>641763</v>
      </c>
      <c r="BJ45" s="55">
        <v>0</v>
      </c>
      <c r="BK45" s="55">
        <v>0</v>
      </c>
      <c r="BL45" s="55">
        <v>47366.44</v>
      </c>
      <c r="BM45" s="55">
        <v>71246.149999999994</v>
      </c>
      <c r="BN45" s="55">
        <v>1914.15</v>
      </c>
      <c r="BO45" s="55">
        <v>11318.6</v>
      </c>
      <c r="BP45" s="55">
        <v>8369.92</v>
      </c>
      <c r="BQ45" s="55">
        <v>14267</v>
      </c>
      <c r="BR45" s="55">
        <v>22434.95</v>
      </c>
      <c r="BS45" s="55">
        <v>1593.16</v>
      </c>
      <c r="BT45" s="55">
        <v>21887.06</v>
      </c>
      <c r="BU45" s="55">
        <v>48727.39</v>
      </c>
      <c r="BV45" s="55">
        <v>0</v>
      </c>
      <c r="BW45" s="55">
        <v>152181.76000000001</v>
      </c>
      <c r="BX45" s="55">
        <v>3786</v>
      </c>
      <c r="BY45" s="55">
        <v>0</v>
      </c>
      <c r="BZ45" s="55">
        <v>1046855.58</v>
      </c>
      <c r="CA45" s="54">
        <v>19665.72</v>
      </c>
      <c r="CB45" s="54">
        <v>0</v>
      </c>
      <c r="CC45" s="54">
        <v>0</v>
      </c>
      <c r="CD45" s="54">
        <v>10139.299999999999</v>
      </c>
      <c r="CE45" s="54">
        <v>5362.01</v>
      </c>
      <c r="CF45" s="28">
        <v>0</v>
      </c>
      <c r="CG45" s="54">
        <v>10571</v>
      </c>
      <c r="CH45" s="54">
        <v>6090</v>
      </c>
      <c r="CI45" s="54">
        <v>7242</v>
      </c>
      <c r="CJ45" s="54">
        <v>0</v>
      </c>
      <c r="CK45" s="54"/>
      <c r="CL45" s="54"/>
      <c r="CM45" s="54"/>
      <c r="CN45" s="54"/>
      <c r="CO45" s="54"/>
      <c r="CP45" s="54"/>
      <c r="CQ45" s="54"/>
      <c r="CR45" s="54"/>
    </row>
    <row r="46" spans="1:96">
      <c r="A46" s="1">
        <v>2043553</v>
      </c>
      <c r="B46" s="1" t="s">
        <v>365</v>
      </c>
      <c r="C46" s="1" t="s">
        <v>322</v>
      </c>
      <c r="D46" s="1" t="s">
        <v>14</v>
      </c>
      <c r="E46" s="1">
        <v>161</v>
      </c>
      <c r="F46" s="1">
        <v>0</v>
      </c>
      <c r="G46" s="1">
        <v>0</v>
      </c>
      <c r="H46" s="54">
        <v>764832.11</v>
      </c>
      <c r="I46" s="1">
        <v>76</v>
      </c>
      <c r="J46" s="1">
        <v>0</v>
      </c>
      <c r="K46" s="54">
        <v>44190.96</v>
      </c>
      <c r="L46" s="1">
        <v>77</v>
      </c>
      <c r="M46" s="1">
        <v>0</v>
      </c>
      <c r="N46" s="54">
        <v>74925.62</v>
      </c>
      <c r="O46" s="1">
        <v>4.0503144649999996</v>
      </c>
      <c r="P46" s="1">
        <v>21.26415094</v>
      </c>
      <c r="Q46" s="1">
        <v>36.45283019</v>
      </c>
      <c r="R46" s="1">
        <v>45.566037739999999</v>
      </c>
      <c r="S46" s="1">
        <v>41.515723270000002</v>
      </c>
      <c r="T46" s="1">
        <v>3.0377358490000002</v>
      </c>
      <c r="U46" s="1">
        <v>0</v>
      </c>
      <c r="V46" s="1">
        <v>0</v>
      </c>
      <c r="W46" s="1">
        <v>0</v>
      </c>
      <c r="X46" s="1">
        <v>0</v>
      </c>
      <c r="Y46" s="1">
        <v>0</v>
      </c>
      <c r="Z46" s="1">
        <v>0</v>
      </c>
      <c r="AA46" s="54">
        <v>81617.69</v>
      </c>
      <c r="AB46" s="1">
        <v>65.270270269999997</v>
      </c>
      <c r="AC46" s="1">
        <v>0</v>
      </c>
      <c r="AD46" s="54">
        <v>45697.67</v>
      </c>
      <c r="AE46" s="1">
        <v>41.718978100000001</v>
      </c>
      <c r="AF46" s="1">
        <v>0</v>
      </c>
      <c r="AG46" s="54">
        <v>57922.21</v>
      </c>
      <c r="AH46" s="1">
        <v>3.34</v>
      </c>
      <c r="AI46" s="1">
        <v>0</v>
      </c>
      <c r="AJ46" s="54">
        <v>3804.89</v>
      </c>
      <c r="AK46" s="54">
        <v>159487.1</v>
      </c>
      <c r="AL46" s="54">
        <v>5990.4</v>
      </c>
      <c r="AM46" s="54">
        <v>1353977.59</v>
      </c>
      <c r="AN46" s="54">
        <v>42416.98</v>
      </c>
      <c r="AO46" s="54">
        <v>5797</v>
      </c>
      <c r="AP46" s="54">
        <v>159487.1</v>
      </c>
      <c r="AQ46" s="54">
        <v>1231110.47</v>
      </c>
      <c r="AR46" s="54">
        <v>185</v>
      </c>
      <c r="AS46" s="54">
        <v>6654.6511890000002</v>
      </c>
      <c r="AT46" s="54">
        <v>6687.9244449999997</v>
      </c>
      <c r="AU46" s="54">
        <v>1076755.8359999999</v>
      </c>
      <c r="AV46" s="54">
        <v>5990.4</v>
      </c>
      <c r="AW46" s="54">
        <v>159487.1</v>
      </c>
      <c r="AX46" s="54">
        <v>1242233.3400000001</v>
      </c>
      <c r="AY46" s="54">
        <v>3764.67</v>
      </c>
      <c r="AZ46" s="54">
        <v>1242233.3400000001</v>
      </c>
      <c r="BA46" s="54">
        <v>1935.22</v>
      </c>
      <c r="BB46" s="28">
        <v>5613.24</v>
      </c>
      <c r="BC46" s="54">
        <v>544.17999999999995</v>
      </c>
      <c r="BD46" s="54">
        <v>486.22</v>
      </c>
      <c r="BE46" s="54">
        <v>1416.8</v>
      </c>
      <c r="BF46" s="54">
        <v>4202.1000000000004</v>
      </c>
      <c r="BG46" s="54">
        <v>14197.76</v>
      </c>
      <c r="BH46" s="55">
        <v>185</v>
      </c>
      <c r="BI46" s="55">
        <v>854145</v>
      </c>
      <c r="BJ46" s="55">
        <v>0</v>
      </c>
      <c r="BK46" s="55">
        <v>0</v>
      </c>
      <c r="BL46" s="55">
        <v>49649.16</v>
      </c>
      <c r="BM46" s="55">
        <v>73760.72</v>
      </c>
      <c r="BN46" s="55">
        <v>555.91</v>
      </c>
      <c r="BO46" s="55">
        <v>8121.3</v>
      </c>
      <c r="BP46" s="55">
        <v>19142.740000000002</v>
      </c>
      <c r="BQ46" s="55">
        <v>34805.21</v>
      </c>
      <c r="BR46" s="55">
        <v>27735.52</v>
      </c>
      <c r="BS46" s="55">
        <v>1619.42</v>
      </c>
      <c r="BT46" s="55">
        <v>54558.43</v>
      </c>
      <c r="BU46" s="55">
        <v>66335.399999999994</v>
      </c>
      <c r="BV46" s="55">
        <v>0</v>
      </c>
      <c r="BW46" s="55">
        <v>152181.76000000001</v>
      </c>
      <c r="BX46" s="55">
        <v>5797</v>
      </c>
      <c r="BY46" s="55">
        <v>5570.01</v>
      </c>
      <c r="BZ46" s="55">
        <v>1353977.59</v>
      </c>
      <c r="CA46" s="54">
        <v>26173.8</v>
      </c>
      <c r="CB46" s="54">
        <v>0</v>
      </c>
      <c r="CC46" s="54">
        <v>0</v>
      </c>
      <c r="CD46" s="54">
        <v>10881.2</v>
      </c>
      <c r="CE46" s="54">
        <v>5362.01</v>
      </c>
      <c r="CF46" s="28">
        <v>0</v>
      </c>
      <c r="CG46" s="54">
        <v>12761</v>
      </c>
      <c r="CH46" s="54">
        <v>6380</v>
      </c>
      <c r="CI46" s="54">
        <v>7354</v>
      </c>
      <c r="CJ46" s="54">
        <v>0</v>
      </c>
      <c r="CK46" s="54"/>
      <c r="CL46" s="54"/>
      <c r="CM46" s="54"/>
      <c r="CN46" s="54"/>
      <c r="CO46" s="54"/>
      <c r="CP46" s="54"/>
      <c r="CQ46" s="54"/>
      <c r="CR46" s="54"/>
    </row>
    <row r="47" spans="1:96">
      <c r="A47" s="1">
        <v>2043572</v>
      </c>
      <c r="B47" s="1" t="s">
        <v>366</v>
      </c>
      <c r="C47" s="1" t="s">
        <v>322</v>
      </c>
      <c r="D47" s="1" t="s">
        <v>14</v>
      </c>
      <c r="E47" s="1">
        <v>174</v>
      </c>
      <c r="F47" s="1">
        <v>0</v>
      </c>
      <c r="G47" s="1">
        <v>0</v>
      </c>
      <c r="H47" s="54">
        <v>826588.74</v>
      </c>
      <c r="I47" s="1">
        <v>108</v>
      </c>
      <c r="J47" s="1">
        <v>0</v>
      </c>
      <c r="K47" s="54">
        <v>62797.68</v>
      </c>
      <c r="L47" s="1">
        <v>110</v>
      </c>
      <c r="M47" s="1">
        <v>0</v>
      </c>
      <c r="N47" s="54">
        <v>107036.6</v>
      </c>
      <c r="O47" s="1">
        <v>8.0462427749999996</v>
      </c>
      <c r="P47" s="1">
        <v>31.17919075</v>
      </c>
      <c r="Q47" s="1">
        <v>42.242774570000002</v>
      </c>
      <c r="R47" s="1">
        <v>28.161849709999998</v>
      </c>
      <c r="S47" s="1">
        <v>54.312138730000001</v>
      </c>
      <c r="T47" s="1">
        <v>4.0231213869999998</v>
      </c>
      <c r="U47" s="1">
        <v>0</v>
      </c>
      <c r="V47" s="1">
        <v>0</v>
      </c>
      <c r="W47" s="1">
        <v>0</v>
      </c>
      <c r="X47" s="1">
        <v>0</v>
      </c>
      <c r="Y47" s="1">
        <v>0</v>
      </c>
      <c r="Z47" s="1">
        <v>0</v>
      </c>
      <c r="AA47" s="54">
        <v>87741.52</v>
      </c>
      <c r="AB47" s="1">
        <v>16.684931509999998</v>
      </c>
      <c r="AC47" s="1">
        <v>0</v>
      </c>
      <c r="AD47" s="54">
        <v>11681.62</v>
      </c>
      <c r="AE47" s="1">
        <v>48.947012600000001</v>
      </c>
      <c r="AF47" s="1">
        <v>0</v>
      </c>
      <c r="AG47" s="54">
        <v>67957.539999999994</v>
      </c>
      <c r="AH47" s="1">
        <v>0</v>
      </c>
      <c r="AI47" s="1">
        <v>0</v>
      </c>
      <c r="AJ47" s="54">
        <v>0</v>
      </c>
      <c r="AK47" s="54">
        <v>159487.1</v>
      </c>
      <c r="AL47" s="54">
        <v>5683.2</v>
      </c>
      <c r="AM47" s="54">
        <v>1217641.04</v>
      </c>
      <c r="AN47" s="54">
        <v>40646.68</v>
      </c>
      <c r="AO47" s="54">
        <v>3786</v>
      </c>
      <c r="AP47" s="54">
        <v>159487.1</v>
      </c>
      <c r="AQ47" s="54">
        <v>1095014.6200000001</v>
      </c>
      <c r="AR47" s="54">
        <v>162</v>
      </c>
      <c r="AS47" s="54">
        <v>6759.3495059999996</v>
      </c>
      <c r="AT47" s="54">
        <v>6793.1462540000002</v>
      </c>
      <c r="AU47" s="54">
        <v>1182007.4480000001</v>
      </c>
      <c r="AV47" s="54">
        <v>5683.2</v>
      </c>
      <c r="AW47" s="54">
        <v>159487.1</v>
      </c>
      <c r="AX47" s="54">
        <v>1347177.75</v>
      </c>
      <c r="AY47" s="54">
        <v>18203.740000000002</v>
      </c>
      <c r="AZ47" s="54">
        <v>1347177.75</v>
      </c>
      <c r="BA47" s="54">
        <v>2091.48</v>
      </c>
      <c r="BB47" s="28">
        <v>1434.9</v>
      </c>
      <c r="BC47" s="54">
        <v>588.12</v>
      </c>
      <c r="BD47" s="54">
        <v>525.48</v>
      </c>
      <c r="BE47" s="54">
        <v>1531.2</v>
      </c>
      <c r="BF47" s="54">
        <v>4541.3999999999996</v>
      </c>
      <c r="BG47" s="54">
        <v>10712.579999999998</v>
      </c>
      <c r="BH47" s="55">
        <v>162</v>
      </c>
      <c r="BI47" s="55">
        <v>747954</v>
      </c>
      <c r="BJ47" s="55">
        <v>0</v>
      </c>
      <c r="BK47" s="55">
        <v>0</v>
      </c>
      <c r="BL47" s="55">
        <v>55926.64</v>
      </c>
      <c r="BM47" s="55">
        <v>83819</v>
      </c>
      <c r="BN47" s="55">
        <v>2476.34</v>
      </c>
      <c r="BO47" s="55">
        <v>10384</v>
      </c>
      <c r="BP47" s="55">
        <v>20002.03</v>
      </c>
      <c r="BQ47" s="55">
        <v>14355.61</v>
      </c>
      <c r="BR47" s="55">
        <v>31115.919999999998</v>
      </c>
      <c r="BS47" s="55">
        <v>2404.58</v>
      </c>
      <c r="BT47" s="55">
        <v>15053.17</v>
      </c>
      <c r="BU47" s="55">
        <v>67657.66</v>
      </c>
      <c r="BV47" s="55">
        <v>0</v>
      </c>
      <c r="BW47" s="55">
        <v>152181.76000000001</v>
      </c>
      <c r="BX47" s="55">
        <v>3786</v>
      </c>
      <c r="BY47" s="55">
        <v>10524.33</v>
      </c>
      <c r="BZ47" s="55">
        <v>1217641.04</v>
      </c>
      <c r="CA47" s="54">
        <v>22919.759999999998</v>
      </c>
      <c r="CB47" s="54">
        <v>0</v>
      </c>
      <c r="CC47" s="54">
        <v>0</v>
      </c>
      <c r="CD47" s="54">
        <v>12117.7</v>
      </c>
      <c r="CE47" s="54">
        <v>5362.01</v>
      </c>
      <c r="CF47" s="28">
        <v>0</v>
      </c>
      <c r="CG47" s="54">
        <v>12145</v>
      </c>
      <c r="CH47" s="54">
        <v>7322.25</v>
      </c>
      <c r="CI47" s="54">
        <v>7267</v>
      </c>
      <c r="CJ47" s="54">
        <v>0</v>
      </c>
      <c r="CK47" s="54"/>
      <c r="CL47" s="54"/>
      <c r="CM47" s="54"/>
      <c r="CN47" s="54"/>
      <c r="CO47" s="54"/>
      <c r="CP47" s="54"/>
      <c r="CQ47" s="54"/>
      <c r="CR47" s="54"/>
    </row>
    <row r="48" spans="1:96">
      <c r="A48" s="1">
        <v>2043616</v>
      </c>
      <c r="B48" s="1" t="s">
        <v>367</v>
      </c>
      <c r="C48" s="1" t="s">
        <v>322</v>
      </c>
      <c r="D48" s="1" t="s">
        <v>14</v>
      </c>
      <c r="E48" s="1">
        <v>129</v>
      </c>
      <c r="F48" s="1">
        <v>0</v>
      </c>
      <c r="G48" s="1">
        <v>0</v>
      </c>
      <c r="H48" s="54">
        <v>612815.79</v>
      </c>
      <c r="I48" s="1">
        <v>78</v>
      </c>
      <c r="J48" s="1">
        <v>0</v>
      </c>
      <c r="K48" s="54">
        <v>45353.88</v>
      </c>
      <c r="L48" s="1">
        <v>78</v>
      </c>
      <c r="M48" s="1">
        <v>0</v>
      </c>
      <c r="N48" s="54">
        <v>75898.679999999993</v>
      </c>
      <c r="O48" s="1">
        <v>32</v>
      </c>
      <c r="P48" s="1">
        <v>31</v>
      </c>
      <c r="Q48" s="1">
        <v>12</v>
      </c>
      <c r="R48" s="1">
        <v>16</v>
      </c>
      <c r="S48" s="1">
        <v>37</v>
      </c>
      <c r="T48" s="1">
        <v>0</v>
      </c>
      <c r="U48" s="1">
        <v>0</v>
      </c>
      <c r="V48" s="1">
        <v>0</v>
      </c>
      <c r="W48" s="1">
        <v>0</v>
      </c>
      <c r="X48" s="1">
        <v>0</v>
      </c>
      <c r="Y48" s="1">
        <v>0</v>
      </c>
      <c r="Z48" s="1">
        <v>0</v>
      </c>
      <c r="AA48" s="54">
        <v>57565.05</v>
      </c>
      <c r="AB48" s="1">
        <v>13.34482759</v>
      </c>
      <c r="AC48" s="1">
        <v>0</v>
      </c>
      <c r="AD48" s="54">
        <v>9343.11</v>
      </c>
      <c r="AE48" s="1">
        <v>36.426805340000001</v>
      </c>
      <c r="AF48" s="1">
        <v>0</v>
      </c>
      <c r="AG48" s="54">
        <v>50574.61</v>
      </c>
      <c r="AH48" s="1">
        <v>0.26</v>
      </c>
      <c r="AI48" s="1">
        <v>0</v>
      </c>
      <c r="AJ48" s="54">
        <v>296.19</v>
      </c>
      <c r="AK48" s="54">
        <v>159487.1</v>
      </c>
      <c r="AL48" s="54">
        <v>5171.2</v>
      </c>
      <c r="AM48" s="54">
        <v>917793.08</v>
      </c>
      <c r="AN48" s="54">
        <v>30853.58</v>
      </c>
      <c r="AO48" s="54">
        <v>3786</v>
      </c>
      <c r="AP48" s="54">
        <v>159487.1</v>
      </c>
      <c r="AQ48" s="54">
        <v>785373.56</v>
      </c>
      <c r="AR48" s="54">
        <v>119</v>
      </c>
      <c r="AS48" s="54">
        <v>6599.7778150000004</v>
      </c>
      <c r="AT48" s="54">
        <v>6632.7767039999999</v>
      </c>
      <c r="AU48" s="54">
        <v>855628.19480000006</v>
      </c>
      <c r="AV48" s="54">
        <v>5171.2</v>
      </c>
      <c r="AW48" s="54">
        <v>159487.1</v>
      </c>
      <c r="AX48" s="54">
        <v>1020286.49</v>
      </c>
      <c r="AY48" s="54">
        <v>3780.88</v>
      </c>
      <c r="AZ48" s="54">
        <v>1020286.49</v>
      </c>
      <c r="BA48" s="54">
        <v>1550.58</v>
      </c>
      <c r="BB48" s="28">
        <v>1147.6600000000001</v>
      </c>
      <c r="BC48" s="54">
        <v>436.02</v>
      </c>
      <c r="BD48" s="54">
        <v>389.58</v>
      </c>
      <c r="BE48" s="54">
        <v>1135.2</v>
      </c>
      <c r="BF48" s="54">
        <v>3366.9</v>
      </c>
      <c r="BG48" s="54">
        <v>8025.9400000000005</v>
      </c>
      <c r="BH48" s="55">
        <v>119</v>
      </c>
      <c r="BI48" s="55">
        <v>549423</v>
      </c>
      <c r="BJ48" s="55">
        <v>0</v>
      </c>
      <c r="BK48" s="55">
        <v>0</v>
      </c>
      <c r="BL48" s="55">
        <v>39376.92</v>
      </c>
      <c r="BM48" s="55">
        <v>58673.3</v>
      </c>
      <c r="BN48" s="55">
        <v>6289.35</v>
      </c>
      <c r="BO48" s="55">
        <v>7989.6</v>
      </c>
      <c r="BP48" s="55">
        <v>8893.0400000000009</v>
      </c>
      <c r="BQ48" s="55">
        <v>7418.84</v>
      </c>
      <c r="BR48" s="55">
        <v>23647.65</v>
      </c>
      <c r="BS48" s="55">
        <v>0</v>
      </c>
      <c r="BT48" s="55">
        <v>11046.38</v>
      </c>
      <c r="BU48" s="55">
        <v>44635.360000000001</v>
      </c>
      <c r="BV48" s="55">
        <v>966.24</v>
      </c>
      <c r="BW48" s="55">
        <v>152181.76000000001</v>
      </c>
      <c r="BX48" s="55">
        <v>3786</v>
      </c>
      <c r="BY48" s="55">
        <v>3465.65</v>
      </c>
      <c r="BZ48" s="55">
        <v>917793.08</v>
      </c>
      <c r="CA48" s="54">
        <v>16836.12</v>
      </c>
      <c r="CB48" s="54">
        <v>0</v>
      </c>
      <c r="CC48" s="54">
        <v>0</v>
      </c>
      <c r="CD48" s="54">
        <v>8284.5499999999993</v>
      </c>
      <c r="CE48" s="54">
        <v>5362.01</v>
      </c>
      <c r="CF48" s="28">
        <v>0</v>
      </c>
      <c r="CG48" s="54">
        <v>9162</v>
      </c>
      <c r="CH48" s="54">
        <v>4929.75</v>
      </c>
      <c r="CI48" s="54">
        <v>7100</v>
      </c>
      <c r="CJ48" s="54">
        <v>0</v>
      </c>
      <c r="CK48" s="54"/>
      <c r="CL48" s="54"/>
      <c r="CM48" s="54"/>
      <c r="CN48" s="54"/>
      <c r="CO48" s="54"/>
      <c r="CP48" s="54"/>
      <c r="CQ48" s="54"/>
      <c r="CR48" s="54"/>
    </row>
    <row r="49" spans="1:96">
      <c r="A49" s="1">
        <v>2043618</v>
      </c>
      <c r="B49" s="1" t="s">
        <v>368</v>
      </c>
      <c r="C49" s="1" t="s">
        <v>322</v>
      </c>
      <c r="D49" s="1" t="s">
        <v>14</v>
      </c>
      <c r="E49" s="1">
        <v>98</v>
      </c>
      <c r="F49" s="1">
        <v>0</v>
      </c>
      <c r="G49" s="1">
        <v>0</v>
      </c>
      <c r="H49" s="54">
        <v>465549.98</v>
      </c>
      <c r="I49" s="1">
        <v>50</v>
      </c>
      <c r="J49" s="1">
        <v>0</v>
      </c>
      <c r="K49" s="54">
        <v>29073</v>
      </c>
      <c r="L49" s="1">
        <v>50</v>
      </c>
      <c r="M49" s="1">
        <v>0</v>
      </c>
      <c r="N49" s="54">
        <v>48653</v>
      </c>
      <c r="O49" s="1">
        <v>19</v>
      </c>
      <c r="P49" s="1">
        <v>27</v>
      </c>
      <c r="Q49" s="1">
        <v>9</v>
      </c>
      <c r="R49" s="1">
        <v>1</v>
      </c>
      <c r="S49" s="1">
        <v>10</v>
      </c>
      <c r="T49" s="1">
        <v>4</v>
      </c>
      <c r="U49" s="1">
        <v>0</v>
      </c>
      <c r="V49" s="1">
        <v>0</v>
      </c>
      <c r="W49" s="1">
        <v>0</v>
      </c>
      <c r="X49" s="1">
        <v>0</v>
      </c>
      <c r="Y49" s="1">
        <v>0</v>
      </c>
      <c r="Z49" s="1">
        <v>0</v>
      </c>
      <c r="AA49" s="54">
        <v>29097.02</v>
      </c>
      <c r="AB49" s="1">
        <v>18.232558139999998</v>
      </c>
      <c r="AC49" s="1">
        <v>0</v>
      </c>
      <c r="AD49" s="54">
        <v>12765.16</v>
      </c>
      <c r="AE49" s="1">
        <v>30.476078430000001</v>
      </c>
      <c r="AF49" s="1">
        <v>0</v>
      </c>
      <c r="AG49" s="54">
        <v>42312.68</v>
      </c>
      <c r="AH49" s="1">
        <v>2.12</v>
      </c>
      <c r="AI49" s="1">
        <v>0</v>
      </c>
      <c r="AJ49" s="54">
        <v>2415.08</v>
      </c>
      <c r="AK49" s="54">
        <v>159487.1</v>
      </c>
      <c r="AL49" s="54">
        <v>3635.2</v>
      </c>
      <c r="AM49" s="54">
        <v>991275.12</v>
      </c>
      <c r="AN49" s="54">
        <v>32816.480000000003</v>
      </c>
      <c r="AO49" s="54">
        <v>3160</v>
      </c>
      <c r="AP49" s="54">
        <v>159487.1</v>
      </c>
      <c r="AQ49" s="54">
        <v>861444.5</v>
      </c>
      <c r="AR49" s="54">
        <v>132</v>
      </c>
      <c r="AS49" s="54">
        <v>6526.0946970000005</v>
      </c>
      <c r="AT49" s="54">
        <v>6558.7251699999997</v>
      </c>
      <c r="AU49" s="54">
        <v>642755.06669999997</v>
      </c>
      <c r="AV49" s="54">
        <v>3635.2</v>
      </c>
      <c r="AW49" s="54">
        <v>159487.1</v>
      </c>
      <c r="AX49" s="54">
        <v>805877.37</v>
      </c>
      <c r="AY49" s="54">
        <v>12889.14</v>
      </c>
      <c r="AZ49" s="54">
        <v>805877.37</v>
      </c>
      <c r="BA49" s="54">
        <v>1177.96</v>
      </c>
      <c r="BB49" s="28">
        <v>1568</v>
      </c>
      <c r="BC49" s="54">
        <v>331.24</v>
      </c>
      <c r="BD49" s="54">
        <v>295.95999999999998</v>
      </c>
      <c r="BE49" s="54">
        <v>862.4</v>
      </c>
      <c r="BF49" s="54">
        <v>2557.8000000000002</v>
      </c>
      <c r="BG49" s="54">
        <v>6793.36</v>
      </c>
      <c r="BH49" s="55">
        <v>132</v>
      </c>
      <c r="BI49" s="55">
        <v>609444</v>
      </c>
      <c r="BJ49" s="55">
        <v>0</v>
      </c>
      <c r="BK49" s="55">
        <v>0</v>
      </c>
      <c r="BL49" s="55">
        <v>39376.92</v>
      </c>
      <c r="BM49" s="55">
        <v>59511.49</v>
      </c>
      <c r="BN49" s="55">
        <v>6562.8</v>
      </c>
      <c r="BO49" s="55">
        <v>12650.2</v>
      </c>
      <c r="BP49" s="55">
        <v>6277.44</v>
      </c>
      <c r="BQ49" s="55">
        <v>3994.76</v>
      </c>
      <c r="BR49" s="55">
        <v>8488.9</v>
      </c>
      <c r="BS49" s="55">
        <v>3982.9</v>
      </c>
      <c r="BT49" s="55">
        <v>13768.22</v>
      </c>
      <c r="BU49" s="55">
        <v>47235.75</v>
      </c>
      <c r="BV49" s="55">
        <v>0</v>
      </c>
      <c r="BW49" s="55">
        <v>152181.76000000001</v>
      </c>
      <c r="BX49" s="55">
        <v>3160</v>
      </c>
      <c r="BY49" s="55">
        <v>24639.97</v>
      </c>
      <c r="BZ49" s="55">
        <v>991275.12</v>
      </c>
      <c r="CA49" s="54">
        <v>18675.36</v>
      </c>
      <c r="CB49" s="54">
        <v>0</v>
      </c>
      <c r="CC49" s="54">
        <v>0</v>
      </c>
      <c r="CD49" s="54">
        <v>8531.85</v>
      </c>
      <c r="CE49" s="54">
        <v>5362.01</v>
      </c>
      <c r="CF49" s="28">
        <v>0</v>
      </c>
      <c r="CG49" s="54">
        <v>9792</v>
      </c>
      <c r="CH49" s="54">
        <v>5075.5</v>
      </c>
      <c r="CI49" s="54">
        <v>7138</v>
      </c>
      <c r="CJ49" s="54">
        <v>0</v>
      </c>
      <c r="CK49" s="54"/>
      <c r="CL49" s="54"/>
      <c r="CM49" s="54"/>
      <c r="CN49" s="54"/>
      <c r="CO49" s="54"/>
      <c r="CP49" s="54"/>
      <c r="CQ49" s="54"/>
      <c r="CR49" s="54"/>
    </row>
    <row r="50" spans="1:96">
      <c r="A50" s="1">
        <v>2043659</v>
      </c>
      <c r="B50" s="1" t="s">
        <v>369</v>
      </c>
      <c r="C50" s="1" t="s">
        <v>322</v>
      </c>
      <c r="D50" s="1" t="s">
        <v>14</v>
      </c>
      <c r="E50" s="1">
        <v>178</v>
      </c>
      <c r="F50" s="1">
        <v>0</v>
      </c>
      <c r="G50" s="1">
        <v>0</v>
      </c>
      <c r="H50" s="54">
        <v>845590.78</v>
      </c>
      <c r="I50" s="1">
        <v>129</v>
      </c>
      <c r="J50" s="1">
        <v>0</v>
      </c>
      <c r="K50" s="54">
        <v>75008.34</v>
      </c>
      <c r="L50" s="1">
        <v>129</v>
      </c>
      <c r="M50" s="1">
        <v>0</v>
      </c>
      <c r="N50" s="54">
        <v>125524.74</v>
      </c>
      <c r="O50" s="1">
        <v>25</v>
      </c>
      <c r="P50" s="1">
        <v>51</v>
      </c>
      <c r="Q50" s="1">
        <v>23</v>
      </c>
      <c r="R50" s="1">
        <v>37</v>
      </c>
      <c r="S50" s="1">
        <v>28</v>
      </c>
      <c r="T50" s="1">
        <v>5</v>
      </c>
      <c r="U50" s="1">
        <v>0</v>
      </c>
      <c r="V50" s="1">
        <v>0</v>
      </c>
      <c r="W50" s="1">
        <v>0</v>
      </c>
      <c r="X50" s="1">
        <v>0</v>
      </c>
      <c r="Y50" s="1">
        <v>0</v>
      </c>
      <c r="Z50" s="1">
        <v>0</v>
      </c>
      <c r="AA50" s="54">
        <v>78806.23</v>
      </c>
      <c r="AB50" s="1">
        <v>63.315436239999997</v>
      </c>
      <c r="AC50" s="1">
        <v>0</v>
      </c>
      <c r="AD50" s="54">
        <v>44329.04</v>
      </c>
      <c r="AE50" s="1">
        <v>89.917756539999999</v>
      </c>
      <c r="AF50" s="1">
        <v>0</v>
      </c>
      <c r="AG50" s="54">
        <v>124840.91</v>
      </c>
      <c r="AH50" s="1">
        <v>5.32</v>
      </c>
      <c r="AI50" s="1">
        <v>0</v>
      </c>
      <c r="AJ50" s="54">
        <v>6060.49</v>
      </c>
      <c r="AK50" s="54">
        <v>159487.1</v>
      </c>
      <c r="AL50" s="54">
        <v>6195.2</v>
      </c>
      <c r="AM50" s="54">
        <v>1405101.96</v>
      </c>
      <c r="AN50" s="54">
        <v>46390.34</v>
      </c>
      <c r="AO50" s="54">
        <v>5745</v>
      </c>
      <c r="AP50" s="54">
        <v>159487.1</v>
      </c>
      <c r="AQ50" s="54">
        <v>1286260.2</v>
      </c>
      <c r="AR50" s="54">
        <v>179</v>
      </c>
      <c r="AS50" s="54">
        <v>7185.8111730000001</v>
      </c>
      <c r="AT50" s="54">
        <v>7221.740229</v>
      </c>
      <c r="AU50" s="54">
        <v>1285469.7609999999</v>
      </c>
      <c r="AV50" s="54">
        <v>6195.2</v>
      </c>
      <c r="AW50" s="54">
        <v>159487.1</v>
      </c>
      <c r="AX50" s="54">
        <v>1451152.06</v>
      </c>
      <c r="AY50" s="54">
        <v>0</v>
      </c>
      <c r="AZ50" s="54">
        <v>1465842.83</v>
      </c>
      <c r="BA50" s="54">
        <v>2139.56</v>
      </c>
      <c r="BB50" s="28">
        <v>5445.13</v>
      </c>
      <c r="BC50" s="54">
        <v>601.64</v>
      </c>
      <c r="BD50" s="54">
        <v>537.55999999999995</v>
      </c>
      <c r="BE50" s="54">
        <v>1566.4</v>
      </c>
      <c r="BF50" s="54">
        <v>4645.8</v>
      </c>
      <c r="BG50" s="54">
        <v>14936.09</v>
      </c>
      <c r="BH50" s="55">
        <v>179</v>
      </c>
      <c r="BI50" s="55">
        <v>826443</v>
      </c>
      <c r="BJ50" s="55">
        <v>0</v>
      </c>
      <c r="BK50" s="55">
        <v>0</v>
      </c>
      <c r="BL50" s="55">
        <v>72476.36</v>
      </c>
      <c r="BM50" s="55">
        <v>106450.13</v>
      </c>
      <c r="BN50" s="55">
        <v>7656.6</v>
      </c>
      <c r="BO50" s="55">
        <v>18309.5</v>
      </c>
      <c r="BP50" s="55">
        <v>8893.0400000000009</v>
      </c>
      <c r="BQ50" s="55">
        <v>24539.24</v>
      </c>
      <c r="BR50" s="55">
        <v>15765.1</v>
      </c>
      <c r="BS50" s="55">
        <v>2389.7399999999998</v>
      </c>
      <c r="BT50" s="55">
        <v>44813.27</v>
      </c>
      <c r="BU50" s="55">
        <v>114652.98</v>
      </c>
      <c r="BV50" s="55">
        <v>4786.24</v>
      </c>
      <c r="BW50" s="55">
        <v>152181.76000000001</v>
      </c>
      <c r="BX50" s="55">
        <v>5745</v>
      </c>
      <c r="BY50" s="55">
        <v>0</v>
      </c>
      <c r="BZ50" s="55">
        <v>1405101.96</v>
      </c>
      <c r="CA50" s="54">
        <v>25324.92</v>
      </c>
      <c r="CB50" s="54">
        <v>0</v>
      </c>
      <c r="CC50" s="54">
        <v>0</v>
      </c>
      <c r="CD50" s="54">
        <v>15703.55</v>
      </c>
      <c r="CE50" s="54">
        <v>5362.01</v>
      </c>
      <c r="CF50" s="28">
        <v>0</v>
      </c>
      <c r="CG50" s="54">
        <v>13942</v>
      </c>
      <c r="CH50" s="54">
        <v>9207.5</v>
      </c>
      <c r="CI50" s="54">
        <v>7338</v>
      </c>
      <c r="CJ50" s="54">
        <v>0</v>
      </c>
      <c r="CK50" s="54"/>
      <c r="CL50" s="54"/>
      <c r="CM50" s="54"/>
      <c r="CN50" s="54"/>
      <c r="CO50" s="54"/>
      <c r="CP50" s="54"/>
      <c r="CQ50" s="54"/>
      <c r="CR50" s="54"/>
    </row>
    <row r="51" spans="1:96">
      <c r="A51" s="1">
        <v>2043663</v>
      </c>
      <c r="B51" s="1" t="s">
        <v>370</v>
      </c>
      <c r="C51" s="1" t="s">
        <v>322</v>
      </c>
      <c r="D51" s="1" t="s">
        <v>14</v>
      </c>
      <c r="E51" s="1">
        <v>111</v>
      </c>
      <c r="F51" s="1">
        <v>0</v>
      </c>
      <c r="G51" s="1">
        <v>0</v>
      </c>
      <c r="H51" s="54">
        <v>527306.61</v>
      </c>
      <c r="I51" s="1">
        <v>25</v>
      </c>
      <c r="J51" s="1">
        <v>0</v>
      </c>
      <c r="K51" s="54">
        <v>14536.5</v>
      </c>
      <c r="L51" s="1">
        <v>27</v>
      </c>
      <c r="M51" s="1">
        <v>0</v>
      </c>
      <c r="N51" s="54">
        <v>26272.62</v>
      </c>
      <c r="O51" s="1">
        <v>12</v>
      </c>
      <c r="P51" s="1">
        <v>26</v>
      </c>
      <c r="Q51" s="1">
        <v>12</v>
      </c>
      <c r="R51" s="1">
        <v>12</v>
      </c>
      <c r="S51" s="1">
        <v>11</v>
      </c>
      <c r="T51" s="1">
        <v>5</v>
      </c>
      <c r="U51" s="1">
        <v>0</v>
      </c>
      <c r="V51" s="1">
        <v>0</v>
      </c>
      <c r="W51" s="1">
        <v>0</v>
      </c>
      <c r="X51" s="1">
        <v>0</v>
      </c>
      <c r="Y51" s="1">
        <v>0</v>
      </c>
      <c r="Z51" s="1">
        <v>0</v>
      </c>
      <c r="AA51" s="54">
        <v>36139.800000000003</v>
      </c>
      <c r="AB51" s="1">
        <v>30.702127659999999</v>
      </c>
      <c r="AC51" s="1">
        <v>0</v>
      </c>
      <c r="AD51" s="54">
        <v>21495.48</v>
      </c>
      <c r="AE51" s="1">
        <v>39.965543070000003</v>
      </c>
      <c r="AF51" s="1">
        <v>0</v>
      </c>
      <c r="AG51" s="54">
        <v>55487.76</v>
      </c>
      <c r="AH51" s="1">
        <v>1.34</v>
      </c>
      <c r="AI51" s="1">
        <v>0</v>
      </c>
      <c r="AJ51" s="54">
        <v>1526.51</v>
      </c>
      <c r="AK51" s="54">
        <v>159487.1</v>
      </c>
      <c r="AL51" s="54">
        <v>3558.4</v>
      </c>
      <c r="AM51" s="54">
        <v>772639.49</v>
      </c>
      <c r="AN51" s="54">
        <v>23273.040000000001</v>
      </c>
      <c r="AO51" s="54">
        <v>5092</v>
      </c>
      <c r="AP51" s="54">
        <v>159487.1</v>
      </c>
      <c r="AQ51" s="54">
        <v>631333.43000000005</v>
      </c>
      <c r="AR51" s="54">
        <v>103</v>
      </c>
      <c r="AS51" s="54">
        <v>6129.450777</v>
      </c>
      <c r="AT51" s="54">
        <v>6160.0980310000004</v>
      </c>
      <c r="AU51" s="54">
        <v>683770.88139999995</v>
      </c>
      <c r="AV51" s="54">
        <v>3558.4</v>
      </c>
      <c r="AW51" s="54">
        <v>159487.1</v>
      </c>
      <c r="AX51" s="54">
        <v>846816.38</v>
      </c>
      <c r="AY51" s="54">
        <v>1005.6</v>
      </c>
      <c r="AZ51" s="54">
        <v>846816.38</v>
      </c>
      <c r="BA51" s="54">
        <v>1334.22</v>
      </c>
      <c r="BB51" s="28">
        <v>2640.38</v>
      </c>
      <c r="BC51" s="54">
        <v>375.18</v>
      </c>
      <c r="BD51" s="54">
        <v>335.22</v>
      </c>
      <c r="BE51" s="54">
        <v>976.8</v>
      </c>
      <c r="BF51" s="54">
        <v>2897.1</v>
      </c>
      <c r="BG51" s="54">
        <v>8558.9000000000015</v>
      </c>
      <c r="BH51" s="55">
        <v>103</v>
      </c>
      <c r="BI51" s="55">
        <v>475551</v>
      </c>
      <c r="BJ51" s="55">
        <v>0</v>
      </c>
      <c r="BK51" s="55">
        <v>0</v>
      </c>
      <c r="BL51" s="55">
        <v>14267</v>
      </c>
      <c r="BM51" s="55">
        <v>22631.13</v>
      </c>
      <c r="BN51" s="55">
        <v>3007.95</v>
      </c>
      <c r="BO51" s="55">
        <v>6658</v>
      </c>
      <c r="BP51" s="55">
        <v>4708.08</v>
      </c>
      <c r="BQ51" s="55">
        <v>6848.16</v>
      </c>
      <c r="BR51" s="55">
        <v>8488.9</v>
      </c>
      <c r="BS51" s="55">
        <v>2389.7399999999998</v>
      </c>
      <c r="BT51" s="55">
        <v>14205.14</v>
      </c>
      <c r="BU51" s="55">
        <v>43965.56</v>
      </c>
      <c r="BV51" s="55">
        <v>7662.47</v>
      </c>
      <c r="BW51" s="55">
        <v>152181.76000000001</v>
      </c>
      <c r="BX51" s="55">
        <v>5092</v>
      </c>
      <c r="BY51" s="55">
        <v>4982.59</v>
      </c>
      <c r="BZ51" s="55">
        <v>772639.49</v>
      </c>
      <c r="CA51" s="54">
        <v>14572.44</v>
      </c>
      <c r="CB51" s="54">
        <v>0</v>
      </c>
      <c r="CC51" s="54">
        <v>0</v>
      </c>
      <c r="CD51" s="54">
        <v>3338.55</v>
      </c>
      <c r="CE51" s="54">
        <v>5362.01</v>
      </c>
      <c r="CF51" s="28">
        <v>10</v>
      </c>
      <c r="CG51" s="54">
        <v>7003</v>
      </c>
      <c r="CH51" s="54">
        <v>1885.25</v>
      </c>
      <c r="CI51" s="54">
        <v>7025</v>
      </c>
      <c r="CJ51" s="54">
        <v>15080</v>
      </c>
      <c r="CK51" s="54"/>
      <c r="CL51" s="54"/>
      <c r="CM51" s="54"/>
      <c r="CN51" s="54"/>
      <c r="CO51" s="54"/>
      <c r="CP51" s="54"/>
      <c r="CQ51" s="54"/>
      <c r="CR51" s="54"/>
    </row>
    <row r="52" spans="1:96">
      <c r="A52" s="1">
        <v>2043666</v>
      </c>
      <c r="B52" s="1" t="s">
        <v>371</v>
      </c>
      <c r="C52" s="1" t="s">
        <v>322</v>
      </c>
      <c r="D52" s="1" t="s">
        <v>14</v>
      </c>
      <c r="E52" s="1">
        <v>185</v>
      </c>
      <c r="F52" s="1">
        <v>0</v>
      </c>
      <c r="G52" s="1">
        <v>0</v>
      </c>
      <c r="H52" s="54">
        <v>878844.35</v>
      </c>
      <c r="I52" s="1">
        <v>65</v>
      </c>
      <c r="J52" s="1">
        <v>0</v>
      </c>
      <c r="K52" s="54">
        <v>37794.9</v>
      </c>
      <c r="L52" s="1">
        <v>67</v>
      </c>
      <c r="M52" s="1">
        <v>0</v>
      </c>
      <c r="N52" s="54">
        <v>65195.02</v>
      </c>
      <c r="O52" s="1">
        <v>10</v>
      </c>
      <c r="P52" s="1">
        <v>24</v>
      </c>
      <c r="Q52" s="1">
        <v>20</v>
      </c>
      <c r="R52" s="1">
        <v>8</v>
      </c>
      <c r="S52" s="1">
        <v>9</v>
      </c>
      <c r="T52" s="1">
        <v>2</v>
      </c>
      <c r="U52" s="1">
        <v>0</v>
      </c>
      <c r="V52" s="1">
        <v>0</v>
      </c>
      <c r="W52" s="1">
        <v>0</v>
      </c>
      <c r="X52" s="1">
        <v>0</v>
      </c>
      <c r="Y52" s="1">
        <v>0</v>
      </c>
      <c r="Z52" s="1">
        <v>0</v>
      </c>
      <c r="AA52" s="54">
        <v>33184.97</v>
      </c>
      <c r="AB52" s="1">
        <v>75.414012740000004</v>
      </c>
      <c r="AC52" s="1">
        <v>0</v>
      </c>
      <c r="AD52" s="54">
        <v>52799.61</v>
      </c>
      <c r="AE52" s="1">
        <v>46.530112639999999</v>
      </c>
      <c r="AF52" s="1">
        <v>0</v>
      </c>
      <c r="AG52" s="54">
        <v>64601.94</v>
      </c>
      <c r="AH52" s="1">
        <v>7.9</v>
      </c>
      <c r="AI52" s="1">
        <v>0</v>
      </c>
      <c r="AJ52" s="54">
        <v>8999.6</v>
      </c>
      <c r="AK52" s="54">
        <v>159487.1</v>
      </c>
      <c r="AL52" s="54">
        <v>29690.5</v>
      </c>
      <c r="AM52" s="54">
        <v>1283966.18</v>
      </c>
      <c r="AN52" s="54">
        <v>39802.550000000003</v>
      </c>
      <c r="AO52" s="54">
        <v>25067</v>
      </c>
      <c r="AP52" s="54">
        <v>159487.1</v>
      </c>
      <c r="AQ52" s="54">
        <v>1139214.6299999999</v>
      </c>
      <c r="AR52" s="54">
        <v>184</v>
      </c>
      <c r="AS52" s="54">
        <v>6191.3838589999996</v>
      </c>
      <c r="AT52" s="54">
        <v>6222.3407779999998</v>
      </c>
      <c r="AU52" s="54">
        <v>1151133.044</v>
      </c>
      <c r="AV52" s="54">
        <v>29690.5</v>
      </c>
      <c r="AW52" s="54">
        <v>159487.1</v>
      </c>
      <c r="AX52" s="54">
        <v>1340310.6399999999</v>
      </c>
      <c r="AY52" s="54">
        <v>9712.65</v>
      </c>
      <c r="AZ52" s="54">
        <v>1340310.6399999999</v>
      </c>
      <c r="BA52" s="54">
        <v>2223.6999999999998</v>
      </c>
      <c r="BB52" s="28">
        <v>6485.61</v>
      </c>
      <c r="BC52" s="54">
        <v>625.29999999999995</v>
      </c>
      <c r="BD52" s="54">
        <v>558.70000000000005</v>
      </c>
      <c r="BE52" s="54">
        <v>1628</v>
      </c>
      <c r="BF52" s="54">
        <v>4828.5</v>
      </c>
      <c r="BG52" s="54">
        <v>16349.81</v>
      </c>
      <c r="BH52" s="55">
        <v>184</v>
      </c>
      <c r="BI52" s="55">
        <v>849528</v>
      </c>
      <c r="BJ52" s="55">
        <v>0</v>
      </c>
      <c r="BK52" s="55">
        <v>0</v>
      </c>
      <c r="BL52" s="55">
        <v>37094.199999999997</v>
      </c>
      <c r="BM52" s="55">
        <v>56996.92</v>
      </c>
      <c r="BN52" s="55">
        <v>3281.4</v>
      </c>
      <c r="BO52" s="55">
        <v>7323.8</v>
      </c>
      <c r="BP52" s="55">
        <v>10462.4</v>
      </c>
      <c r="BQ52" s="55">
        <v>4565.4399999999996</v>
      </c>
      <c r="BR52" s="55">
        <v>6669.85</v>
      </c>
      <c r="BS52" s="55">
        <v>796.58</v>
      </c>
      <c r="BT52" s="55">
        <v>55201.42</v>
      </c>
      <c r="BU52" s="55">
        <v>68935.89</v>
      </c>
      <c r="BV52" s="55">
        <v>3325.65</v>
      </c>
      <c r="BW52" s="55">
        <v>152181.76000000001</v>
      </c>
      <c r="BX52" s="55">
        <v>25067</v>
      </c>
      <c r="BY52" s="55">
        <v>2535.86</v>
      </c>
      <c r="BZ52" s="55">
        <v>1283966.18</v>
      </c>
      <c r="CA52" s="54">
        <v>26032.32</v>
      </c>
      <c r="CB52" s="54">
        <v>0</v>
      </c>
      <c r="CC52" s="54">
        <v>0</v>
      </c>
      <c r="CD52" s="54">
        <v>8284.5499999999993</v>
      </c>
      <c r="CE52" s="54">
        <v>5362.01</v>
      </c>
      <c r="CF52" s="28">
        <v>0</v>
      </c>
      <c r="CG52" s="54">
        <v>11944</v>
      </c>
      <c r="CH52" s="54">
        <v>4930</v>
      </c>
      <c r="CI52" s="54">
        <v>7321</v>
      </c>
      <c r="CJ52" s="54">
        <v>0</v>
      </c>
      <c r="CK52" s="54"/>
      <c r="CL52" s="54"/>
      <c r="CM52" s="54"/>
      <c r="CN52" s="54"/>
      <c r="CO52" s="54"/>
      <c r="CP52" s="54"/>
      <c r="CQ52" s="54"/>
      <c r="CR52" s="54"/>
    </row>
    <row r="53" spans="1:96">
      <c r="A53" s="1">
        <v>2044310</v>
      </c>
      <c r="B53" s="1" t="s">
        <v>372</v>
      </c>
      <c r="C53" s="1" t="s">
        <v>322</v>
      </c>
      <c r="D53" s="1" t="s">
        <v>373</v>
      </c>
      <c r="E53" s="1">
        <v>0</v>
      </c>
      <c r="F53" s="1">
        <v>765</v>
      </c>
      <c r="G53" s="1">
        <v>510</v>
      </c>
      <c r="H53" s="54">
        <v>8797474.5</v>
      </c>
      <c r="I53" s="1">
        <v>0</v>
      </c>
      <c r="J53" s="1">
        <v>422</v>
      </c>
      <c r="K53" s="54">
        <v>245376.12</v>
      </c>
      <c r="L53" s="1">
        <v>0</v>
      </c>
      <c r="M53" s="1">
        <v>474</v>
      </c>
      <c r="N53" s="54">
        <v>674971.26</v>
      </c>
      <c r="O53" s="1">
        <v>0</v>
      </c>
      <c r="P53" s="1">
        <v>0</v>
      </c>
      <c r="Q53" s="1">
        <v>0</v>
      </c>
      <c r="R53" s="1">
        <v>0</v>
      </c>
      <c r="S53" s="1">
        <v>0</v>
      </c>
      <c r="T53" s="1">
        <v>0</v>
      </c>
      <c r="U53" s="1">
        <v>218.17111460000001</v>
      </c>
      <c r="V53" s="1">
        <v>222.1742543</v>
      </c>
      <c r="W53" s="1">
        <v>74.058084769999994</v>
      </c>
      <c r="X53" s="1">
        <v>116.0910518</v>
      </c>
      <c r="Y53" s="1">
        <v>143.11224490000001</v>
      </c>
      <c r="Z53" s="1">
        <v>13.010204079999999</v>
      </c>
      <c r="AA53" s="54">
        <v>497346.22</v>
      </c>
      <c r="AB53" s="1">
        <v>0</v>
      </c>
      <c r="AC53" s="1">
        <v>29.022762950000001</v>
      </c>
      <c r="AD53" s="54">
        <v>54587.75</v>
      </c>
      <c r="AE53" s="1">
        <v>0</v>
      </c>
      <c r="AF53" s="1">
        <v>192.1671753</v>
      </c>
      <c r="AG53" s="54">
        <v>404765.56</v>
      </c>
      <c r="AH53" s="1">
        <v>0</v>
      </c>
      <c r="AI53" s="1">
        <v>0</v>
      </c>
      <c r="AJ53" s="54">
        <v>0</v>
      </c>
      <c r="AK53" s="54">
        <v>159487.1</v>
      </c>
      <c r="AL53" s="54">
        <v>234080</v>
      </c>
      <c r="AM53" s="54">
        <v>10718877.550000001</v>
      </c>
      <c r="AN53" s="54">
        <v>354860.71</v>
      </c>
      <c r="AO53" s="54">
        <v>200777</v>
      </c>
      <c r="AP53" s="54">
        <v>159487.1</v>
      </c>
      <c r="AQ53" s="54">
        <v>10713474.16</v>
      </c>
      <c r="AR53" s="54">
        <v>1261</v>
      </c>
      <c r="AS53" s="54">
        <v>8496.0144010000004</v>
      </c>
      <c r="AT53" s="54">
        <v>8538.4944730000007</v>
      </c>
      <c r="AU53" s="54">
        <v>10886580.449999999</v>
      </c>
      <c r="AV53" s="54">
        <v>234080</v>
      </c>
      <c r="AW53" s="54">
        <v>159487.1</v>
      </c>
      <c r="AX53" s="54">
        <v>11280147.550000001</v>
      </c>
      <c r="AY53" s="54">
        <v>212059.04</v>
      </c>
      <c r="AZ53" s="54">
        <v>11280147.550000001</v>
      </c>
      <c r="BA53" s="54">
        <v>15325.5</v>
      </c>
      <c r="BB53" s="28">
        <v>2495.96</v>
      </c>
      <c r="BC53" s="54">
        <v>4309.5</v>
      </c>
      <c r="BD53" s="54">
        <v>3850.5</v>
      </c>
      <c r="BE53" s="54">
        <v>11220</v>
      </c>
      <c r="BF53" s="54">
        <v>33277.5</v>
      </c>
      <c r="BG53" s="54">
        <v>70478.959999999992</v>
      </c>
      <c r="BH53" s="55">
        <v>1261</v>
      </c>
      <c r="BI53" s="55">
        <v>0</v>
      </c>
      <c r="BJ53" s="55">
        <v>4909765</v>
      </c>
      <c r="BK53" s="55">
        <v>3522266</v>
      </c>
      <c r="BL53" s="55">
        <v>225989.28</v>
      </c>
      <c r="BM53" s="55">
        <v>571883.53</v>
      </c>
      <c r="BN53" s="55">
        <v>84504.49</v>
      </c>
      <c r="BO53" s="55">
        <v>115428.8</v>
      </c>
      <c r="BP53" s="55">
        <v>53853.2</v>
      </c>
      <c r="BQ53" s="55">
        <v>95475.17</v>
      </c>
      <c r="BR53" s="55">
        <v>113786.45</v>
      </c>
      <c r="BS53" s="55">
        <v>9959.2000000000007</v>
      </c>
      <c r="BT53" s="55">
        <v>37272.32</v>
      </c>
      <c r="BU53" s="55">
        <v>424882.53</v>
      </c>
      <c r="BV53" s="55">
        <v>0</v>
      </c>
      <c r="BW53" s="55">
        <v>152181.76000000001</v>
      </c>
      <c r="BX53" s="55">
        <v>200777</v>
      </c>
      <c r="BY53" s="55">
        <v>200852.83</v>
      </c>
      <c r="BZ53" s="55">
        <v>10718877.550000001</v>
      </c>
      <c r="CA53" s="54">
        <v>0</v>
      </c>
      <c r="CB53" s="54">
        <v>150703.82999999999</v>
      </c>
      <c r="CC53" s="54">
        <v>114300.34</v>
      </c>
      <c r="CD53" s="54">
        <v>82950.48</v>
      </c>
      <c r="CE53" s="54">
        <v>5362.01</v>
      </c>
      <c r="CF53" s="28">
        <v>0</v>
      </c>
      <c r="CG53" s="54">
        <v>105302</v>
      </c>
      <c r="CH53" s="54">
        <v>64722</v>
      </c>
      <c r="CI53" s="54">
        <v>0</v>
      </c>
      <c r="CJ53" s="54">
        <v>0</v>
      </c>
      <c r="CK53" s="54"/>
      <c r="CL53" s="54"/>
      <c r="CM53" s="54"/>
      <c r="CN53" s="54"/>
      <c r="CO53" s="54"/>
      <c r="CP53" s="54"/>
      <c r="CQ53" s="54"/>
      <c r="CR53" s="54"/>
    </row>
    <row r="54" spans="1:96">
      <c r="A54" s="1">
        <v>2044318</v>
      </c>
      <c r="B54" s="1" t="s">
        <v>374</v>
      </c>
      <c r="C54" s="1" t="s">
        <v>322</v>
      </c>
      <c r="D54" s="1" t="s">
        <v>373</v>
      </c>
      <c r="E54" s="1">
        <v>0</v>
      </c>
      <c r="F54" s="1">
        <v>225</v>
      </c>
      <c r="G54" s="1">
        <v>150</v>
      </c>
      <c r="H54" s="54">
        <v>2587492.5</v>
      </c>
      <c r="I54" s="1">
        <v>0</v>
      </c>
      <c r="J54" s="1">
        <v>7</v>
      </c>
      <c r="K54" s="54">
        <v>4070.22</v>
      </c>
      <c r="L54" s="1">
        <v>0</v>
      </c>
      <c r="M54" s="1">
        <v>7</v>
      </c>
      <c r="N54" s="54">
        <v>9967.93</v>
      </c>
      <c r="O54" s="1">
        <v>0</v>
      </c>
      <c r="P54" s="1">
        <v>0</v>
      </c>
      <c r="Q54" s="1">
        <v>0</v>
      </c>
      <c r="R54" s="1">
        <v>0</v>
      </c>
      <c r="S54" s="1">
        <v>0</v>
      </c>
      <c r="T54" s="1">
        <v>0</v>
      </c>
      <c r="U54" s="1">
        <v>32</v>
      </c>
      <c r="V54" s="1">
        <v>19</v>
      </c>
      <c r="W54" s="1">
        <v>8</v>
      </c>
      <c r="X54" s="1">
        <v>1</v>
      </c>
      <c r="Y54" s="1">
        <v>1</v>
      </c>
      <c r="Z54" s="1">
        <v>0</v>
      </c>
      <c r="AA54" s="54">
        <v>30734.45</v>
      </c>
      <c r="AB54" s="1">
        <v>0</v>
      </c>
      <c r="AC54" s="1">
        <v>7</v>
      </c>
      <c r="AD54" s="54">
        <v>13166.02</v>
      </c>
      <c r="AE54" s="1">
        <v>0</v>
      </c>
      <c r="AF54" s="1">
        <v>137.6427315</v>
      </c>
      <c r="AG54" s="54">
        <v>289919.64</v>
      </c>
      <c r="AH54" s="1">
        <v>0</v>
      </c>
      <c r="AI54" s="1">
        <v>0</v>
      </c>
      <c r="AJ54" s="54">
        <v>0</v>
      </c>
      <c r="AK54" s="54">
        <v>159487.1</v>
      </c>
      <c r="AL54" s="54">
        <v>26866</v>
      </c>
      <c r="AM54" s="54">
        <v>3040761.86</v>
      </c>
      <c r="AN54" s="54">
        <v>81856.91</v>
      </c>
      <c r="AO54" s="54">
        <v>23602</v>
      </c>
      <c r="AP54" s="54">
        <v>159487.1</v>
      </c>
      <c r="AQ54" s="54">
        <v>2939529.67</v>
      </c>
      <c r="AR54" s="54">
        <v>356</v>
      </c>
      <c r="AS54" s="54">
        <v>8257.1058150000008</v>
      </c>
      <c r="AT54" s="54">
        <v>8298.3913439999997</v>
      </c>
      <c r="AU54" s="54">
        <v>3111896.7540000002</v>
      </c>
      <c r="AV54" s="54">
        <v>26866</v>
      </c>
      <c r="AW54" s="54">
        <v>159487.1</v>
      </c>
      <c r="AX54" s="54">
        <v>3298249.85</v>
      </c>
      <c r="AY54" s="54">
        <v>176546</v>
      </c>
      <c r="AZ54" s="54">
        <v>3298249.85</v>
      </c>
      <c r="BA54" s="54">
        <v>4507.5</v>
      </c>
      <c r="BB54" s="28">
        <v>602</v>
      </c>
      <c r="BC54" s="54">
        <v>1267.5</v>
      </c>
      <c r="BD54" s="54">
        <v>1132.5</v>
      </c>
      <c r="BE54" s="54">
        <v>3300</v>
      </c>
      <c r="BF54" s="54">
        <v>9787.5</v>
      </c>
      <c r="BG54" s="54">
        <v>20597</v>
      </c>
      <c r="BH54" s="55">
        <v>356</v>
      </c>
      <c r="BI54" s="55">
        <v>0</v>
      </c>
      <c r="BJ54" s="55">
        <v>1469678</v>
      </c>
      <c r="BK54" s="55">
        <v>904930</v>
      </c>
      <c r="BL54" s="55">
        <v>6277.48</v>
      </c>
      <c r="BM54" s="55">
        <v>13470.49</v>
      </c>
      <c r="BN54" s="55">
        <v>12781.18</v>
      </c>
      <c r="BO54" s="55">
        <v>8488.9699999999993</v>
      </c>
      <c r="BP54" s="55">
        <v>5174.4399999999996</v>
      </c>
      <c r="BQ54" s="55">
        <v>0</v>
      </c>
      <c r="BR54" s="55">
        <v>870.35</v>
      </c>
      <c r="BS54" s="55">
        <v>0</v>
      </c>
      <c r="BT54" s="55">
        <v>31631.22</v>
      </c>
      <c r="BU54" s="55">
        <v>382756.93</v>
      </c>
      <c r="BV54" s="55">
        <v>0</v>
      </c>
      <c r="BW54" s="55">
        <v>152181.76000000001</v>
      </c>
      <c r="BX54" s="55">
        <v>23602</v>
      </c>
      <c r="BY54" s="55">
        <v>28919.03</v>
      </c>
      <c r="BZ54" s="55">
        <v>3040761.86</v>
      </c>
      <c r="CA54" s="54">
        <v>0</v>
      </c>
      <c r="CB54" s="54">
        <v>45141.24</v>
      </c>
      <c r="CC54" s="54">
        <v>29365.7</v>
      </c>
      <c r="CD54" s="54">
        <v>1987.92</v>
      </c>
      <c r="CE54" s="54">
        <v>5362.01</v>
      </c>
      <c r="CF54" s="28">
        <v>0</v>
      </c>
      <c r="CG54" s="54">
        <v>24433</v>
      </c>
      <c r="CH54" s="54">
        <v>3000</v>
      </c>
      <c r="CI54" s="54">
        <v>0</v>
      </c>
      <c r="CJ54" s="54">
        <v>0</v>
      </c>
      <c r="CK54" s="54"/>
      <c r="CL54" s="54"/>
      <c r="CM54" s="54"/>
      <c r="CN54" s="54"/>
      <c r="CO54" s="54"/>
      <c r="CP54" s="54"/>
      <c r="CQ54" s="54"/>
      <c r="CR54" s="54"/>
    </row>
    <row r="55" spans="1:96">
      <c r="A55" s="1">
        <v>2044641</v>
      </c>
      <c r="B55" s="1" t="s">
        <v>375</v>
      </c>
      <c r="C55" s="1" t="s">
        <v>322</v>
      </c>
      <c r="D55" s="1" t="s">
        <v>373</v>
      </c>
      <c r="E55" s="1">
        <v>0</v>
      </c>
      <c r="F55" s="1">
        <v>210</v>
      </c>
      <c r="G55" s="1">
        <v>217</v>
      </c>
      <c r="H55" s="54">
        <v>2970310.84</v>
      </c>
      <c r="I55" s="1">
        <v>0</v>
      </c>
      <c r="J55" s="1">
        <v>209</v>
      </c>
      <c r="K55" s="54">
        <v>121525.14</v>
      </c>
      <c r="L55" s="1">
        <v>0</v>
      </c>
      <c r="M55" s="1">
        <v>231</v>
      </c>
      <c r="N55" s="54">
        <v>328941.69</v>
      </c>
      <c r="O55" s="1">
        <v>0</v>
      </c>
      <c r="P55" s="1">
        <v>0</v>
      </c>
      <c r="Q55" s="1">
        <v>0</v>
      </c>
      <c r="R55" s="1">
        <v>0</v>
      </c>
      <c r="S55" s="1">
        <v>0</v>
      </c>
      <c r="T55" s="1">
        <v>0</v>
      </c>
      <c r="U55" s="1">
        <v>56</v>
      </c>
      <c r="V55" s="1">
        <v>82</v>
      </c>
      <c r="W55" s="1">
        <v>85</v>
      </c>
      <c r="X55" s="1">
        <v>65</v>
      </c>
      <c r="Y55" s="1">
        <v>64</v>
      </c>
      <c r="Z55" s="1">
        <v>15</v>
      </c>
      <c r="AA55" s="54">
        <v>256170.93</v>
      </c>
      <c r="AB55" s="1">
        <v>0</v>
      </c>
      <c r="AC55" s="1">
        <v>40</v>
      </c>
      <c r="AD55" s="54">
        <v>75234.399999999994</v>
      </c>
      <c r="AE55" s="1">
        <v>0</v>
      </c>
      <c r="AF55" s="1">
        <v>116.0823613</v>
      </c>
      <c r="AG55" s="54">
        <v>244506.6</v>
      </c>
      <c r="AH55" s="1">
        <v>0</v>
      </c>
      <c r="AI55" s="1">
        <v>7.38</v>
      </c>
      <c r="AJ55" s="54">
        <v>12085.41</v>
      </c>
      <c r="AK55" s="54">
        <v>159487.1</v>
      </c>
      <c r="AL55" s="54">
        <v>55328</v>
      </c>
      <c r="AM55" s="54">
        <v>4467993.0199999996</v>
      </c>
      <c r="AN55" s="54">
        <v>152675.92000000001</v>
      </c>
      <c r="AO55" s="54">
        <v>49941</v>
      </c>
      <c r="AP55" s="54">
        <v>159487.1</v>
      </c>
      <c r="AQ55" s="54">
        <v>4411240.84</v>
      </c>
      <c r="AR55" s="54">
        <v>481</v>
      </c>
      <c r="AS55" s="54">
        <v>9170.9788769999996</v>
      </c>
      <c r="AT55" s="54">
        <v>9216.833772</v>
      </c>
      <c r="AU55" s="54">
        <v>3935588.0210000002</v>
      </c>
      <c r="AV55" s="54">
        <v>55328</v>
      </c>
      <c r="AW55" s="54">
        <v>159487.1</v>
      </c>
      <c r="AX55" s="54">
        <v>4150403.12</v>
      </c>
      <c r="AY55" s="54">
        <v>0</v>
      </c>
      <c r="AZ55" s="54">
        <v>4223590.1100000003</v>
      </c>
      <c r="BA55" s="54">
        <v>5132.54</v>
      </c>
      <c r="BB55" s="28">
        <v>3440</v>
      </c>
      <c r="BC55" s="54">
        <v>1443.26</v>
      </c>
      <c r="BD55" s="54">
        <v>1289.54</v>
      </c>
      <c r="BE55" s="54">
        <v>3757.6</v>
      </c>
      <c r="BF55" s="54">
        <v>11144.7</v>
      </c>
      <c r="BG55" s="54">
        <v>26207.64</v>
      </c>
      <c r="BH55" s="55">
        <v>481</v>
      </c>
      <c r="BI55" s="55">
        <v>0</v>
      </c>
      <c r="BJ55" s="55">
        <v>1755810</v>
      </c>
      <c r="BK55" s="55">
        <v>1468771</v>
      </c>
      <c r="BL55" s="55">
        <v>128403</v>
      </c>
      <c r="BM55" s="55">
        <v>309821.27</v>
      </c>
      <c r="BN55" s="55">
        <v>27083.72</v>
      </c>
      <c r="BO55" s="55">
        <v>51848.86</v>
      </c>
      <c r="BP55" s="55">
        <v>69290.22</v>
      </c>
      <c r="BQ55" s="55">
        <v>58209.84</v>
      </c>
      <c r="BR55" s="55">
        <v>60753.7</v>
      </c>
      <c r="BS55" s="55">
        <v>13268.4</v>
      </c>
      <c r="BT55" s="55">
        <v>66983.759999999995</v>
      </c>
      <c r="BU55" s="55">
        <v>255626.49</v>
      </c>
      <c r="BV55" s="55">
        <v>0</v>
      </c>
      <c r="BW55" s="55">
        <v>152181.76000000001</v>
      </c>
      <c r="BX55" s="55">
        <v>49941</v>
      </c>
      <c r="BY55" s="55">
        <v>0</v>
      </c>
      <c r="BZ55" s="55">
        <v>4467993.0199999996</v>
      </c>
      <c r="CA55" s="54">
        <v>0</v>
      </c>
      <c r="CB55" s="54">
        <v>53929.8</v>
      </c>
      <c r="CC55" s="54">
        <v>47662.79</v>
      </c>
      <c r="CD55" s="54">
        <v>45360.72</v>
      </c>
      <c r="CE55" s="54">
        <v>5362.01</v>
      </c>
      <c r="CF55" s="28">
        <v>0</v>
      </c>
      <c r="CG55" s="54">
        <v>45379</v>
      </c>
      <c r="CH55" s="54">
        <v>34224</v>
      </c>
      <c r="CI55" s="54">
        <v>0</v>
      </c>
      <c r="CJ55" s="54">
        <v>0</v>
      </c>
      <c r="CK55" s="54"/>
      <c r="CL55" s="54"/>
      <c r="CM55" s="54"/>
      <c r="CN55" s="54"/>
      <c r="CO55" s="54"/>
      <c r="CP55" s="54"/>
      <c r="CQ55" s="54"/>
      <c r="CR55" s="54"/>
    </row>
    <row r="56" spans="1:96">
      <c r="A56" s="1">
        <v>2044697</v>
      </c>
      <c r="B56" s="1" t="s">
        <v>376</v>
      </c>
      <c r="C56" s="1" t="s">
        <v>322</v>
      </c>
      <c r="D56" s="1" t="s">
        <v>373</v>
      </c>
      <c r="E56" s="1">
        <v>0</v>
      </c>
      <c r="F56" s="1">
        <v>450</v>
      </c>
      <c r="G56" s="1">
        <v>299</v>
      </c>
      <c r="H56" s="54">
        <v>5167773.08</v>
      </c>
      <c r="I56" s="1">
        <v>0</v>
      </c>
      <c r="J56" s="1">
        <v>495</v>
      </c>
      <c r="K56" s="54">
        <v>287822.7</v>
      </c>
      <c r="L56" s="1">
        <v>0</v>
      </c>
      <c r="M56" s="1">
        <v>506</v>
      </c>
      <c r="N56" s="54">
        <v>720538.94</v>
      </c>
      <c r="O56" s="1">
        <v>0</v>
      </c>
      <c r="P56" s="1">
        <v>0</v>
      </c>
      <c r="Q56" s="1">
        <v>0</v>
      </c>
      <c r="R56" s="1">
        <v>0</v>
      </c>
      <c r="S56" s="1">
        <v>0</v>
      </c>
      <c r="T56" s="1">
        <v>0</v>
      </c>
      <c r="U56" s="1">
        <v>105.2811245</v>
      </c>
      <c r="V56" s="1">
        <v>171.45783130000001</v>
      </c>
      <c r="W56" s="1">
        <v>103.2757697</v>
      </c>
      <c r="X56" s="1">
        <v>136.36412319999999</v>
      </c>
      <c r="Y56" s="1">
        <v>169.45247660000001</v>
      </c>
      <c r="Z56" s="1">
        <v>33.088353410000003</v>
      </c>
      <c r="AA56" s="54">
        <v>508805.37</v>
      </c>
      <c r="AB56" s="1">
        <v>0</v>
      </c>
      <c r="AC56" s="1">
        <v>15</v>
      </c>
      <c r="AD56" s="54">
        <v>28212.9</v>
      </c>
      <c r="AE56" s="1">
        <v>0</v>
      </c>
      <c r="AF56" s="1">
        <v>187.20624119999999</v>
      </c>
      <c r="AG56" s="54">
        <v>394316.25</v>
      </c>
      <c r="AH56" s="1">
        <v>0</v>
      </c>
      <c r="AI56" s="1">
        <v>0</v>
      </c>
      <c r="AJ56" s="54">
        <v>0</v>
      </c>
      <c r="AK56" s="54">
        <v>159487.1</v>
      </c>
      <c r="AL56" s="54">
        <v>31920</v>
      </c>
      <c r="AM56" s="54">
        <v>7372574.5700000003</v>
      </c>
      <c r="AN56" s="54">
        <v>268609.56</v>
      </c>
      <c r="AO56" s="54">
        <v>25613</v>
      </c>
      <c r="AP56" s="54">
        <v>159487.1</v>
      </c>
      <c r="AQ56" s="54">
        <v>7456084.0300000003</v>
      </c>
      <c r="AR56" s="54">
        <v>779</v>
      </c>
      <c r="AS56" s="54">
        <v>9571.3530549999996</v>
      </c>
      <c r="AT56" s="54">
        <v>9619.20982</v>
      </c>
      <c r="AU56" s="54">
        <v>7204788.1560000004</v>
      </c>
      <c r="AV56" s="54">
        <v>31920</v>
      </c>
      <c r="AW56" s="54">
        <v>159487.1</v>
      </c>
      <c r="AX56" s="54">
        <v>7396195.2599999998</v>
      </c>
      <c r="AY56" s="54">
        <v>97318.92</v>
      </c>
      <c r="AZ56" s="54">
        <v>7396195.2599999998</v>
      </c>
      <c r="BA56" s="54">
        <v>9002.98</v>
      </c>
      <c r="BB56" s="28">
        <v>1290</v>
      </c>
      <c r="BC56" s="54">
        <v>2531.62</v>
      </c>
      <c r="BD56" s="54">
        <v>2261.98</v>
      </c>
      <c r="BE56" s="54">
        <v>6591.2</v>
      </c>
      <c r="BF56" s="54">
        <v>19548.900000000001</v>
      </c>
      <c r="BG56" s="54">
        <v>41226.68</v>
      </c>
      <c r="BH56" s="55">
        <v>779</v>
      </c>
      <c r="BI56" s="55">
        <v>0</v>
      </c>
      <c r="BJ56" s="55">
        <v>3147452</v>
      </c>
      <c r="BK56" s="55">
        <v>2053495</v>
      </c>
      <c r="BL56" s="55">
        <v>305313.8</v>
      </c>
      <c r="BM56" s="55">
        <v>677198.27</v>
      </c>
      <c r="BN56" s="55">
        <v>45122.62</v>
      </c>
      <c r="BO56" s="55">
        <v>92295.14</v>
      </c>
      <c r="BP56" s="55">
        <v>78336.899999999994</v>
      </c>
      <c r="BQ56" s="55">
        <v>111856.04</v>
      </c>
      <c r="BR56" s="55">
        <v>152275.20000000001</v>
      </c>
      <c r="BS56" s="55">
        <v>37690.57</v>
      </c>
      <c r="BT56" s="55">
        <v>35352.54</v>
      </c>
      <c r="BU56" s="55">
        <v>458391.74</v>
      </c>
      <c r="BV56" s="55">
        <v>0</v>
      </c>
      <c r="BW56" s="55">
        <v>152181.76000000001</v>
      </c>
      <c r="BX56" s="55">
        <v>25613</v>
      </c>
      <c r="BY56" s="55">
        <v>0</v>
      </c>
      <c r="BZ56" s="55">
        <v>7372574.5700000003</v>
      </c>
      <c r="CA56" s="54">
        <v>0</v>
      </c>
      <c r="CB56" s="54">
        <v>96674.16</v>
      </c>
      <c r="CC56" s="54">
        <v>66637.55</v>
      </c>
      <c r="CD56" s="54">
        <v>99034.559999999998</v>
      </c>
      <c r="CE56" s="54">
        <v>5362.01</v>
      </c>
      <c r="CF56" s="28">
        <v>0</v>
      </c>
      <c r="CG56" s="54">
        <v>79683</v>
      </c>
      <c r="CH56" s="54">
        <v>75900</v>
      </c>
      <c r="CI56" s="54">
        <v>0</v>
      </c>
      <c r="CJ56" s="54">
        <v>0</v>
      </c>
      <c r="CK56" s="54"/>
      <c r="CL56" s="54"/>
      <c r="CM56" s="54"/>
      <c r="CN56" s="54"/>
      <c r="CO56" s="54"/>
      <c r="CP56" s="54"/>
      <c r="CQ56" s="54"/>
      <c r="CR56" s="54"/>
    </row>
    <row r="57" spans="1:96">
      <c r="A57" s="1">
        <v>2044714</v>
      </c>
      <c r="B57" s="1" t="s">
        <v>377</v>
      </c>
      <c r="C57" s="1" t="s">
        <v>322</v>
      </c>
      <c r="D57" s="1" t="s">
        <v>373</v>
      </c>
      <c r="E57" s="1">
        <v>0</v>
      </c>
      <c r="F57" s="1">
        <v>533</v>
      </c>
      <c r="G57" s="1">
        <v>337</v>
      </c>
      <c r="H57" s="54">
        <v>5997263.7000000002</v>
      </c>
      <c r="I57" s="1">
        <v>0</v>
      </c>
      <c r="J57" s="1">
        <v>506</v>
      </c>
      <c r="K57" s="54">
        <v>294218.76</v>
      </c>
      <c r="L57" s="1">
        <v>0</v>
      </c>
      <c r="M57" s="1">
        <v>527</v>
      </c>
      <c r="N57" s="54">
        <v>750442.73</v>
      </c>
      <c r="O57" s="1">
        <v>0</v>
      </c>
      <c r="P57" s="1">
        <v>0</v>
      </c>
      <c r="Q57" s="1">
        <v>0</v>
      </c>
      <c r="R57" s="1">
        <v>0</v>
      </c>
      <c r="S57" s="1">
        <v>0</v>
      </c>
      <c r="T57" s="1">
        <v>0</v>
      </c>
      <c r="U57" s="1">
        <v>83</v>
      </c>
      <c r="V57" s="1">
        <v>169</v>
      </c>
      <c r="W57" s="1">
        <v>115</v>
      </c>
      <c r="X57" s="1">
        <v>193</v>
      </c>
      <c r="Y57" s="1">
        <v>199</v>
      </c>
      <c r="Z57" s="1">
        <v>60</v>
      </c>
      <c r="AA57" s="54">
        <v>609766.85</v>
      </c>
      <c r="AB57" s="1">
        <v>0</v>
      </c>
      <c r="AC57" s="1">
        <v>29.133949189999999</v>
      </c>
      <c r="AD57" s="54">
        <v>54796.88</v>
      </c>
      <c r="AE57" s="1">
        <v>0</v>
      </c>
      <c r="AF57" s="1">
        <v>184.55103829999999</v>
      </c>
      <c r="AG57" s="54">
        <v>388723.54</v>
      </c>
      <c r="AH57" s="1">
        <v>0</v>
      </c>
      <c r="AI57" s="1">
        <v>0</v>
      </c>
      <c r="AJ57" s="54">
        <v>0</v>
      </c>
      <c r="AK57" s="54">
        <v>159487.1</v>
      </c>
      <c r="AL57" s="54">
        <v>76608</v>
      </c>
      <c r="AM57" s="54">
        <v>8082631.6299999999</v>
      </c>
      <c r="AN57" s="54">
        <v>281544.96999999997</v>
      </c>
      <c r="AO57" s="54">
        <v>66112</v>
      </c>
      <c r="AP57" s="54">
        <v>159487.1</v>
      </c>
      <c r="AQ57" s="54">
        <v>8138577.5</v>
      </c>
      <c r="AR57" s="54">
        <v>880</v>
      </c>
      <c r="AS57" s="54">
        <v>9248.3835230000004</v>
      </c>
      <c r="AT57" s="54">
        <v>9294.6254399999998</v>
      </c>
      <c r="AU57" s="54">
        <v>8086324.1330000004</v>
      </c>
      <c r="AV57" s="54">
        <v>76608</v>
      </c>
      <c r="AW57" s="54">
        <v>159487.1</v>
      </c>
      <c r="AX57" s="54">
        <v>8322419.2300000004</v>
      </c>
      <c r="AY57" s="54">
        <v>0</v>
      </c>
      <c r="AZ57" s="54">
        <v>8331307.5599999996</v>
      </c>
      <c r="BA57" s="54">
        <v>10457.4</v>
      </c>
      <c r="BB57" s="28">
        <v>2505.52</v>
      </c>
      <c r="BC57" s="54">
        <v>2940.6</v>
      </c>
      <c r="BD57" s="54">
        <v>2627.4</v>
      </c>
      <c r="BE57" s="54">
        <v>7656</v>
      </c>
      <c r="BF57" s="54">
        <v>22707</v>
      </c>
      <c r="BG57" s="54">
        <v>48893.919999999998</v>
      </c>
      <c r="BH57" s="55">
        <v>880</v>
      </c>
      <c r="BI57" s="55">
        <v>0</v>
      </c>
      <c r="BJ57" s="55">
        <v>3492111</v>
      </c>
      <c r="BK57" s="55">
        <v>2387623</v>
      </c>
      <c r="BL57" s="55">
        <v>264224.84000000003</v>
      </c>
      <c r="BM57" s="55">
        <v>619642.54</v>
      </c>
      <c r="BN57" s="55">
        <v>35049.519999999997</v>
      </c>
      <c r="BO57" s="55">
        <v>84651.199999999997</v>
      </c>
      <c r="BP57" s="55">
        <v>91404.12</v>
      </c>
      <c r="BQ57" s="55">
        <v>163310.94</v>
      </c>
      <c r="BR57" s="55">
        <v>170978.27</v>
      </c>
      <c r="BS57" s="55">
        <v>63024.9</v>
      </c>
      <c r="BT57" s="55">
        <v>45221.1</v>
      </c>
      <c r="BU57" s="55">
        <v>421889.82</v>
      </c>
      <c r="BV57" s="55">
        <v>0</v>
      </c>
      <c r="BW57" s="55">
        <v>152181.76000000001</v>
      </c>
      <c r="BX57" s="55">
        <v>66112</v>
      </c>
      <c r="BY57" s="55">
        <v>25206.62</v>
      </c>
      <c r="BZ57" s="55">
        <v>8082631.6299999999</v>
      </c>
      <c r="CA57" s="54">
        <v>0</v>
      </c>
      <c r="CB57" s="54">
        <v>107260.38</v>
      </c>
      <c r="CC57" s="54">
        <v>77480.27</v>
      </c>
      <c r="CD57" s="54">
        <v>91263.6</v>
      </c>
      <c r="CE57" s="54">
        <v>5362.01</v>
      </c>
      <c r="CF57" s="28">
        <v>0</v>
      </c>
      <c r="CG57" s="54">
        <v>83786</v>
      </c>
      <c r="CH57" s="54">
        <v>69690</v>
      </c>
      <c r="CI57" s="54">
        <v>0</v>
      </c>
      <c r="CJ57" s="54">
        <v>0</v>
      </c>
      <c r="CK57" s="54"/>
      <c r="CL57" s="54"/>
      <c r="CM57" s="54"/>
      <c r="CN57" s="54"/>
      <c r="CO57" s="54"/>
      <c r="CP57" s="54"/>
      <c r="CQ57" s="54"/>
      <c r="CR57" s="54"/>
    </row>
  </sheetData>
  <autoFilter ref="A2:CR57" xr:uid="{00000000-0001-0000-0300-000000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Scott</dc:creator>
  <cp:keywords/>
  <dc:description/>
  <cp:lastModifiedBy>Chris Scott</cp:lastModifiedBy>
  <cp:revision/>
  <dcterms:created xsi:type="dcterms:W3CDTF">2023-01-13T11:24:06Z</dcterms:created>
  <dcterms:modified xsi:type="dcterms:W3CDTF">2024-02-21T11:53:26Z</dcterms:modified>
  <cp:category/>
  <cp:contentStatus/>
</cp:coreProperties>
</file>