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carter\Downloads\"/>
    </mc:Choice>
  </mc:AlternateContent>
  <workbookProtection workbookAlgorithmName="SHA-512" workbookHashValue="Ypi2Y3quxkadUw60vrjfrQP7b3TPMS6VIvuWvpORl1gs13VYvN57cDoLUgSSrOGZjBUBjIbH9WBfJ47IB8U7Jg==" workbookSaltValue="ZnAdpCLAXrOPpzcklcod5Q==" workbookSpinCount="100000" lockStructure="1"/>
  <bookViews>
    <workbookView xWindow="0" yWindow="0" windowWidth="19200" windowHeight="7970" firstSheet="1" activeTab="1"/>
  </bookViews>
  <sheets>
    <sheet name="ISB" sheetId="1" state="hidden" r:id="rId1"/>
    <sheet name="Budget 202324" sheetId="2" r:id="rId2"/>
  </sheets>
  <definedNames>
    <definedName name="DFE">'Budget 202324'!$C$2</definedName>
    <definedName name="PASSCODE">'Budget 202324'!$C$3</definedName>
    <definedName name="Test1">'Budget 202324'!$F$30</definedName>
    <definedName name="Test10">'Budget 202324'!$F$69</definedName>
    <definedName name="Test11">'Budget 202324'!$F$70</definedName>
    <definedName name="Test12">'Budget 202324'!$F$71</definedName>
    <definedName name="Test13">'Budget 202324'!$C$101</definedName>
    <definedName name="Test14">'Budget 202324'!$F$137</definedName>
    <definedName name="Test15">'Budget 202324'!$D$183</definedName>
    <definedName name="Test16">'Budget 202324'!$D$199</definedName>
    <definedName name="Test17">'Budget 202324'!$F$260</definedName>
    <definedName name="Test18">'Budget 202324'!$F$276</definedName>
    <definedName name="Test2">'Budget 202324'!$I$30</definedName>
    <definedName name="Test3">'Budget 202324'!$F$47</definedName>
    <definedName name="Test4">'Budget 202324'!$F$49</definedName>
    <definedName name="Test5">'Budget 202324'!$F$60</definedName>
    <definedName name="Test6">'Budget 202324'!$F$62</definedName>
    <definedName name="Test7">'Budget 202324'!$F$66</definedName>
    <definedName name="Test8">'Budget 202324'!$F$67</definedName>
    <definedName name="Test9">'Budget 202324'!$F$68</definedName>
  </definedNames>
  <calcPr calcId="152511"/>
  <extLst>
    <ext uri="GoogleSheetsCustomDataVersion1">
      <go:sheetsCustomData xmlns:go="http://customooxmlschemas.google.com/" r:id="rId6" roundtripDataSignature="AMtx7mgx04lDsNnqmRQnzME523uQ18B7CQ=="/>
    </ext>
  </extLst>
</workbook>
</file>

<file path=xl/calcChain.xml><?xml version="1.0" encoding="utf-8"?>
<calcChain xmlns="http://schemas.openxmlformats.org/spreadsheetml/2006/main">
  <c r="EP8" i="1" l="1"/>
  <c r="EP9" i="1"/>
  <c r="EP10" i="1"/>
  <c r="EP11" i="1"/>
  <c r="EP12" i="1"/>
  <c r="EP13" i="1"/>
  <c r="EP14" i="1"/>
  <c r="EP15" i="1"/>
  <c r="EP16" i="1"/>
  <c r="EP17" i="1"/>
  <c r="EP18" i="1"/>
  <c r="EP19" i="1"/>
  <c r="EP20" i="1"/>
  <c r="EP21" i="1"/>
  <c r="EP22" i="1"/>
  <c r="EP23" i="1"/>
  <c r="EP24" i="1"/>
  <c r="EP25" i="1"/>
  <c r="EP26" i="1"/>
  <c r="EP27" i="1"/>
  <c r="EP28" i="1"/>
  <c r="EP29" i="1"/>
  <c r="EP30" i="1"/>
  <c r="EP31" i="1"/>
  <c r="EP32" i="1"/>
  <c r="EP33" i="1"/>
  <c r="EP34" i="1"/>
  <c r="EP35" i="1"/>
  <c r="EP36" i="1"/>
  <c r="EP37" i="1"/>
  <c r="EP38" i="1"/>
  <c r="EP39" i="1"/>
  <c r="EP40" i="1"/>
  <c r="EP41" i="1"/>
  <c r="EP42" i="1"/>
  <c r="EP43" i="1"/>
  <c r="EP44" i="1"/>
  <c r="EP45" i="1"/>
  <c r="EP46" i="1"/>
  <c r="EP47" i="1"/>
  <c r="EP48" i="1"/>
  <c r="EP49" i="1"/>
  <c r="EP50" i="1"/>
  <c r="EP51" i="1"/>
  <c r="EP52" i="1"/>
  <c r="EP53" i="1"/>
  <c r="EP54" i="1"/>
  <c r="EP55" i="1"/>
  <c r="EP56" i="1"/>
  <c r="EP57" i="1"/>
  <c r="EP58" i="1"/>
  <c r="EP59" i="1"/>
  <c r="EP60" i="1"/>
  <c r="EP61" i="1"/>
  <c r="EP62" i="1"/>
  <c r="EP7" i="1"/>
  <c r="I254" i="2"/>
  <c r="H240" i="2"/>
  <c r="I270" i="2" s="1"/>
  <c r="H239" i="2"/>
  <c r="F225" i="2"/>
  <c r="F224" i="2"/>
  <c r="D170" i="2"/>
  <c r="D169" i="2"/>
  <c r="D167" i="2"/>
  <c r="D166" i="2"/>
  <c r="F145" i="2"/>
  <c r="F144" i="2"/>
  <c r="F143" i="2"/>
  <c r="F112" i="2"/>
  <c r="F111" i="2"/>
  <c r="F110" i="2"/>
  <c r="F109" i="2"/>
  <c r="F108" i="2"/>
  <c r="F107" i="2"/>
  <c r="D87" i="2"/>
  <c r="E87" i="2" s="1"/>
  <c r="D86" i="2"/>
  <c r="E86" i="2" s="1"/>
  <c r="D85" i="2"/>
  <c r="E85" i="2" s="1"/>
  <c r="B6" i="2"/>
  <c r="A2" i="2"/>
  <c r="D189" i="2" s="1"/>
  <c r="FE62" i="1"/>
  <c r="FD62" i="1"/>
  <c r="FB62" i="1"/>
  <c r="FA62" i="1"/>
  <c r="EZ62" i="1"/>
  <c r="EY62" i="1"/>
  <c r="EX62" i="1"/>
  <c r="EW62" i="1"/>
  <c r="EV62" i="1"/>
  <c r="DT62" i="1"/>
  <c r="FC62" i="1" s="1"/>
  <c r="DS62" i="1"/>
  <c r="DF62" i="1"/>
  <c r="DE62" i="1"/>
  <c r="DD62" i="1"/>
  <c r="DC62" i="1"/>
  <c r="DB62" i="1"/>
  <c r="DA62" i="1"/>
  <c r="DG62" i="1" s="1"/>
  <c r="ET62" i="1" s="1"/>
  <c r="CV62" i="1"/>
  <c r="CU62" i="1"/>
  <c r="CT62" i="1"/>
  <c r="CW62" i="1" s="1"/>
  <c r="ER62" i="1" s="1"/>
  <c r="CO62" i="1"/>
  <c r="CP62" i="1" s="1"/>
  <c r="CR62" i="1" s="1"/>
  <c r="CS62" i="1" s="1"/>
  <c r="CJ62" i="1"/>
  <c r="CF62" i="1"/>
  <c r="CE62" i="1"/>
  <c r="CB62" i="1"/>
  <c r="BZ62" i="1"/>
  <c r="CA62" i="1" s="1"/>
  <c r="BO62" i="1"/>
  <c r="BM62" i="1"/>
  <c r="BL62" i="1"/>
  <c r="BK62" i="1"/>
  <c r="BE62" i="1"/>
  <c r="BD62" i="1"/>
  <c r="BC62" i="1"/>
  <c r="BA62" i="1"/>
  <c r="BG62" i="1" s="1"/>
  <c r="AZ62" i="1"/>
  <c r="BF62" i="1" s="1"/>
  <c r="AY62" i="1"/>
  <c r="AX62" i="1"/>
  <c r="AW62" i="1"/>
  <c r="AV62" i="1"/>
  <c r="BB62" i="1" s="1"/>
  <c r="AM62" i="1"/>
  <c r="AL62" i="1"/>
  <c r="AK62" i="1"/>
  <c r="AI62" i="1"/>
  <c r="AO62" i="1" s="1"/>
  <c r="AH62" i="1"/>
  <c r="AN62" i="1" s="1"/>
  <c r="AG62" i="1"/>
  <c r="AF62" i="1"/>
  <c r="AE62" i="1"/>
  <c r="AD62" i="1"/>
  <c r="AJ62" i="1" s="1"/>
  <c r="W62" i="1"/>
  <c r="V62" i="1"/>
  <c r="U62" i="1"/>
  <c r="R62" i="1"/>
  <c r="Q62" i="1"/>
  <c r="P62" i="1"/>
  <c r="M62" i="1"/>
  <c r="FE61" i="1"/>
  <c r="FD61" i="1"/>
  <c r="FB61" i="1"/>
  <c r="FA61" i="1"/>
  <c r="EZ61" i="1"/>
  <c r="EY61" i="1"/>
  <c r="EX61" i="1"/>
  <c r="EW61" i="1"/>
  <c r="EV61" i="1"/>
  <c r="DT61" i="1"/>
  <c r="FC61" i="1" s="1"/>
  <c r="DS61" i="1"/>
  <c r="DF61" i="1"/>
  <c r="DE61" i="1"/>
  <c r="DD61" i="1"/>
  <c r="DC61" i="1"/>
  <c r="DB61" i="1"/>
  <c r="DA61" i="1"/>
  <c r="DG61" i="1" s="1"/>
  <c r="ET61" i="1" s="1"/>
  <c r="CV61" i="1"/>
  <c r="CU61" i="1"/>
  <c r="CT61" i="1"/>
  <c r="CW61" i="1" s="1"/>
  <c r="ER61" i="1" s="1"/>
  <c r="CO61" i="1"/>
  <c r="CP61" i="1" s="1"/>
  <c r="CR61" i="1" s="1"/>
  <c r="CS61" i="1" s="1"/>
  <c r="CJ61" i="1"/>
  <c r="CF61" i="1"/>
  <c r="CE61" i="1"/>
  <c r="CB61" i="1"/>
  <c r="BZ61" i="1"/>
  <c r="CA61" i="1" s="1"/>
  <c r="BO61" i="1"/>
  <c r="BM61" i="1"/>
  <c r="BL61" i="1"/>
  <c r="BK61" i="1"/>
  <c r="BE61" i="1"/>
  <c r="BD61" i="1"/>
  <c r="BC61" i="1"/>
  <c r="BA61" i="1"/>
  <c r="BG61" i="1" s="1"/>
  <c r="AZ61" i="1"/>
  <c r="BF61" i="1" s="1"/>
  <c r="AY61" i="1"/>
  <c r="AX61" i="1"/>
  <c r="AW61" i="1"/>
  <c r="AV61" i="1"/>
  <c r="BB61" i="1" s="1"/>
  <c r="AL61" i="1"/>
  <c r="AK61" i="1"/>
  <c r="AI61" i="1"/>
  <c r="AO61" i="1" s="1"/>
  <c r="AH61" i="1"/>
  <c r="AN61" i="1" s="1"/>
  <c r="AG61" i="1"/>
  <c r="AM61" i="1" s="1"/>
  <c r="AF61" i="1"/>
  <c r="AE61" i="1"/>
  <c r="AD61" i="1"/>
  <c r="AJ61" i="1" s="1"/>
  <c r="W61" i="1"/>
  <c r="V61" i="1"/>
  <c r="U61" i="1"/>
  <c r="Q61" i="1"/>
  <c r="R61" i="1" s="1"/>
  <c r="P61" i="1"/>
  <c r="M61" i="1"/>
  <c r="FE60" i="1"/>
  <c r="FD60" i="1"/>
  <c r="FB60" i="1"/>
  <c r="FA60" i="1"/>
  <c r="EZ60" i="1"/>
  <c r="EY60" i="1"/>
  <c r="EX60" i="1"/>
  <c r="EW60" i="1"/>
  <c r="EV60" i="1"/>
  <c r="DS60" i="1"/>
  <c r="DF60" i="1"/>
  <c r="DE60" i="1"/>
  <c r="DD60" i="1"/>
  <c r="DC60" i="1"/>
  <c r="DA60" i="1"/>
  <c r="CV60" i="1"/>
  <c r="CU60" i="1"/>
  <c r="CO60" i="1"/>
  <c r="CP60" i="1" s="1"/>
  <c r="CR60" i="1" s="1"/>
  <c r="CS60" i="1" s="1"/>
  <c r="CT60" i="1" s="1"/>
  <c r="CW60" i="1" s="1"/>
  <c r="CJ60" i="1"/>
  <c r="CF60" i="1"/>
  <c r="CE60" i="1"/>
  <c r="CG60" i="1" s="1"/>
  <c r="BZ60" i="1"/>
  <c r="CA60" i="1" s="1"/>
  <c r="BO60" i="1"/>
  <c r="CB60" i="1" s="1"/>
  <c r="BL60" i="1"/>
  <c r="BK60" i="1"/>
  <c r="BM60" i="1" s="1"/>
  <c r="BD60" i="1"/>
  <c r="BA60" i="1"/>
  <c r="BG60" i="1" s="1"/>
  <c r="AZ60" i="1"/>
  <c r="BF60" i="1" s="1"/>
  <c r="AY60" i="1"/>
  <c r="BE60" i="1" s="1"/>
  <c r="AX60" i="1"/>
  <c r="AW60" i="1"/>
  <c r="BC60" i="1" s="1"/>
  <c r="AV60" i="1"/>
  <c r="BB60" i="1" s="1"/>
  <c r="AL60" i="1"/>
  <c r="AI60" i="1"/>
  <c r="AO60" i="1" s="1"/>
  <c r="AH60" i="1"/>
  <c r="AN60" i="1" s="1"/>
  <c r="AG60" i="1"/>
  <c r="AM60" i="1" s="1"/>
  <c r="AF60" i="1"/>
  <c r="AE60" i="1"/>
  <c r="AK60" i="1" s="1"/>
  <c r="AD60" i="1"/>
  <c r="AJ60" i="1" s="1"/>
  <c r="V60" i="1"/>
  <c r="U60" i="1"/>
  <c r="DT60" i="1" s="1"/>
  <c r="FC60" i="1" s="1"/>
  <c r="Q60" i="1"/>
  <c r="R60" i="1" s="1"/>
  <c r="P60" i="1"/>
  <c r="M60" i="1"/>
  <c r="FE59" i="1"/>
  <c r="FD59" i="1"/>
  <c r="FB59" i="1"/>
  <c r="FA59" i="1"/>
  <c r="EZ59" i="1"/>
  <c r="EY59" i="1"/>
  <c r="EX59" i="1"/>
  <c r="EW59" i="1"/>
  <c r="EV59" i="1"/>
  <c r="DS59" i="1"/>
  <c r="DF59" i="1"/>
  <c r="DE59" i="1"/>
  <c r="DD59" i="1"/>
  <c r="DC59" i="1"/>
  <c r="DA59" i="1"/>
  <c r="CV59" i="1"/>
  <c r="CU59" i="1"/>
  <c r="CO59" i="1"/>
  <c r="CP59" i="1" s="1"/>
  <c r="CR59" i="1" s="1"/>
  <c r="CS59" i="1" s="1"/>
  <c r="CT59" i="1" s="1"/>
  <c r="CW59" i="1" s="1"/>
  <c r="CJ59" i="1"/>
  <c r="CF59" i="1"/>
  <c r="CE59" i="1"/>
  <c r="CG59" i="1" s="1"/>
  <c r="BZ59" i="1"/>
  <c r="CA59" i="1" s="1"/>
  <c r="CB59" i="1" s="1"/>
  <c r="BO59" i="1"/>
  <c r="BL59" i="1"/>
  <c r="BK59" i="1"/>
  <c r="DB59" i="1" s="1"/>
  <c r="DG59" i="1" s="1"/>
  <c r="ET59" i="1" s="1"/>
  <c r="BD59" i="1"/>
  <c r="BA59" i="1"/>
  <c r="BG59" i="1" s="1"/>
  <c r="AZ59" i="1"/>
  <c r="BF59" i="1" s="1"/>
  <c r="AY59" i="1"/>
  <c r="BE59" i="1" s="1"/>
  <c r="AX59" i="1"/>
  <c r="AW59" i="1"/>
  <c r="BC59" i="1" s="1"/>
  <c r="AV59" i="1"/>
  <c r="BB59" i="1" s="1"/>
  <c r="AL59" i="1"/>
  <c r="AI59" i="1"/>
  <c r="AO59" i="1" s="1"/>
  <c r="AH59" i="1"/>
  <c r="AN59" i="1" s="1"/>
  <c r="AG59" i="1"/>
  <c r="AM59" i="1" s="1"/>
  <c r="AF59" i="1"/>
  <c r="AE59" i="1"/>
  <c r="AK59" i="1" s="1"/>
  <c r="AD59" i="1"/>
  <c r="AJ59" i="1" s="1"/>
  <c r="V59" i="1"/>
  <c r="U59" i="1"/>
  <c r="DT59" i="1" s="1"/>
  <c r="FC59" i="1" s="1"/>
  <c r="Q59" i="1"/>
  <c r="R59" i="1" s="1"/>
  <c r="P59" i="1"/>
  <c r="M59" i="1"/>
  <c r="FE58" i="1"/>
  <c r="FD58" i="1"/>
  <c r="FB58" i="1"/>
  <c r="FA58" i="1"/>
  <c r="EZ58" i="1"/>
  <c r="EY58" i="1"/>
  <c r="EX58" i="1"/>
  <c r="EW58" i="1"/>
  <c r="EV58" i="1"/>
  <c r="DS58" i="1"/>
  <c r="DF58" i="1"/>
  <c r="DE58" i="1"/>
  <c r="DD58" i="1"/>
  <c r="DC58" i="1"/>
  <c r="DA58" i="1"/>
  <c r="CV58" i="1"/>
  <c r="CU58" i="1"/>
  <c r="CO58" i="1"/>
  <c r="CP58" i="1" s="1"/>
  <c r="CR58" i="1" s="1"/>
  <c r="CS58" i="1" s="1"/>
  <c r="CT58" i="1" s="1"/>
  <c r="CW58" i="1" s="1"/>
  <c r="CJ58" i="1"/>
  <c r="CF58" i="1"/>
  <c r="CE58" i="1"/>
  <c r="CG58" i="1" s="1"/>
  <c r="BZ58" i="1"/>
  <c r="CA58" i="1" s="1"/>
  <c r="CB58" i="1" s="1"/>
  <c r="BO58" i="1"/>
  <c r="BL58" i="1"/>
  <c r="BK58" i="1"/>
  <c r="DB58" i="1" s="1"/>
  <c r="DG58" i="1" s="1"/>
  <c r="ET58" i="1" s="1"/>
  <c r="BD58" i="1"/>
  <c r="BA58" i="1"/>
  <c r="BG58" i="1" s="1"/>
  <c r="AZ58" i="1"/>
  <c r="BF58" i="1" s="1"/>
  <c r="AY58" i="1"/>
  <c r="BE58" i="1" s="1"/>
  <c r="AX58" i="1"/>
  <c r="AW58" i="1"/>
  <c r="BC58" i="1" s="1"/>
  <c r="AV58" i="1"/>
  <c r="BB58" i="1" s="1"/>
  <c r="AL58" i="1"/>
  <c r="AI58" i="1"/>
  <c r="AO58" i="1" s="1"/>
  <c r="AH58" i="1"/>
  <c r="AN58" i="1" s="1"/>
  <c r="AG58" i="1"/>
  <c r="AM58" i="1" s="1"/>
  <c r="AF58" i="1"/>
  <c r="AE58" i="1"/>
  <c r="AK58" i="1" s="1"/>
  <c r="AD58" i="1"/>
  <c r="AJ58" i="1" s="1"/>
  <c r="V58" i="1"/>
  <c r="U58" i="1"/>
  <c r="DT58" i="1" s="1"/>
  <c r="FC58" i="1" s="1"/>
  <c r="Q58" i="1"/>
  <c r="R58" i="1" s="1"/>
  <c r="P58" i="1"/>
  <c r="M58" i="1"/>
  <c r="FE57" i="1"/>
  <c r="FD57" i="1"/>
  <c r="FB57" i="1"/>
  <c r="FA57" i="1"/>
  <c r="EZ57" i="1"/>
  <c r="EY57" i="1"/>
  <c r="EX57" i="1"/>
  <c r="EW57" i="1"/>
  <c r="EV57" i="1"/>
  <c r="DS57" i="1"/>
  <c r="DF57" i="1"/>
  <c r="DE57" i="1"/>
  <c r="DD57" i="1"/>
  <c r="DC57" i="1"/>
  <c r="DA57" i="1"/>
  <c r="CV57" i="1"/>
  <c r="CU57" i="1"/>
  <c r="CO57" i="1"/>
  <c r="CP57" i="1" s="1"/>
  <c r="CR57" i="1" s="1"/>
  <c r="CS57" i="1" s="1"/>
  <c r="CT57" i="1" s="1"/>
  <c r="CW57" i="1" s="1"/>
  <c r="CJ57" i="1"/>
  <c r="CF57" i="1"/>
  <c r="CE57" i="1"/>
  <c r="CG57" i="1" s="1"/>
  <c r="BZ57" i="1"/>
  <c r="CA57" i="1" s="1"/>
  <c r="CB57" i="1" s="1"/>
  <c r="BO57" i="1"/>
  <c r="BL57" i="1"/>
  <c r="BK57" i="1"/>
  <c r="DB57" i="1" s="1"/>
  <c r="DG57" i="1" s="1"/>
  <c r="ET57" i="1" s="1"/>
  <c r="BD57" i="1"/>
  <c r="BA57" i="1"/>
  <c r="BG57" i="1" s="1"/>
  <c r="AZ57" i="1"/>
  <c r="BF57" i="1" s="1"/>
  <c r="AY57" i="1"/>
  <c r="BE57" i="1" s="1"/>
  <c r="AX57" i="1"/>
  <c r="AW57" i="1"/>
  <c r="BC57" i="1" s="1"/>
  <c r="AV57" i="1"/>
  <c r="BB57" i="1" s="1"/>
  <c r="AL57" i="1"/>
  <c r="AI57" i="1"/>
  <c r="AO57" i="1" s="1"/>
  <c r="AH57" i="1"/>
  <c r="AN57" i="1" s="1"/>
  <c r="AG57" i="1"/>
  <c r="AM57" i="1" s="1"/>
  <c r="AF57" i="1"/>
  <c r="AE57" i="1"/>
  <c r="AK57" i="1" s="1"/>
  <c r="AD57" i="1"/>
  <c r="AJ57" i="1" s="1"/>
  <c r="V57" i="1"/>
  <c r="U57" i="1"/>
  <c r="DT57" i="1" s="1"/>
  <c r="FC57" i="1" s="1"/>
  <c r="Q57" i="1"/>
  <c r="R57" i="1" s="1"/>
  <c r="P57" i="1"/>
  <c r="M57" i="1"/>
  <c r="FE56" i="1"/>
  <c r="FD56" i="1"/>
  <c r="FB56" i="1"/>
  <c r="FA56" i="1"/>
  <c r="EZ56" i="1"/>
  <c r="EY56" i="1"/>
  <c r="EX56" i="1"/>
  <c r="EW56" i="1"/>
  <c r="EV56" i="1"/>
  <c r="DS56" i="1"/>
  <c r="DF56" i="1"/>
  <c r="DE56" i="1"/>
  <c r="DD56" i="1"/>
  <c r="DC56" i="1"/>
  <c r="DA56" i="1"/>
  <c r="CV56" i="1"/>
  <c r="CU56" i="1"/>
  <c r="CO56" i="1"/>
  <c r="CP56" i="1" s="1"/>
  <c r="CR56" i="1" s="1"/>
  <c r="CS56" i="1" s="1"/>
  <c r="CT56" i="1" s="1"/>
  <c r="CW56" i="1" s="1"/>
  <c r="CJ56" i="1"/>
  <c r="CF56" i="1"/>
  <c r="CE56" i="1"/>
  <c r="CG56" i="1" s="1"/>
  <c r="BZ56" i="1"/>
  <c r="CA56" i="1" s="1"/>
  <c r="CB56" i="1" s="1"/>
  <c r="BO56" i="1"/>
  <c r="BM56" i="1"/>
  <c r="BL56" i="1"/>
  <c r="BK56" i="1"/>
  <c r="DB56" i="1" s="1"/>
  <c r="BG56" i="1"/>
  <c r="BD56" i="1"/>
  <c r="BC56" i="1"/>
  <c r="BA56" i="1"/>
  <c r="AZ56" i="1"/>
  <c r="BF56" i="1" s="1"/>
  <c r="AY56" i="1"/>
  <c r="BE56" i="1" s="1"/>
  <c r="AX56" i="1"/>
  <c r="AW56" i="1"/>
  <c r="AV56" i="1"/>
  <c r="BB56" i="1" s="1"/>
  <c r="AO56" i="1"/>
  <c r="AL56" i="1"/>
  <c r="AK56" i="1"/>
  <c r="AI56" i="1"/>
  <c r="AH56" i="1"/>
  <c r="AN56" i="1" s="1"/>
  <c r="AG56" i="1"/>
  <c r="AM56" i="1" s="1"/>
  <c r="AF56" i="1"/>
  <c r="AE56" i="1"/>
  <c r="AD56" i="1"/>
  <c r="AJ56" i="1" s="1"/>
  <c r="W56" i="1"/>
  <c r="V56" i="1"/>
  <c r="U56" i="1"/>
  <c r="DT56" i="1" s="1"/>
  <c r="FC56" i="1" s="1"/>
  <c r="Q56" i="1"/>
  <c r="R56" i="1" s="1"/>
  <c r="P56" i="1"/>
  <c r="M56" i="1"/>
  <c r="FE55" i="1"/>
  <c r="FD55" i="1"/>
  <c r="FB55" i="1"/>
  <c r="FA55" i="1"/>
  <c r="EZ55" i="1"/>
  <c r="EY55" i="1"/>
  <c r="EX55" i="1"/>
  <c r="EW55" i="1"/>
  <c r="EV55" i="1"/>
  <c r="DS55" i="1"/>
  <c r="DF55" i="1"/>
  <c r="DE55" i="1"/>
  <c r="DD55" i="1"/>
  <c r="DC55" i="1"/>
  <c r="DA55" i="1"/>
  <c r="DG55" i="1" s="1"/>
  <c r="ET55" i="1" s="1"/>
  <c r="CV55" i="1"/>
  <c r="CU55" i="1"/>
  <c r="CO55" i="1"/>
  <c r="CP55" i="1" s="1"/>
  <c r="CR55" i="1" s="1"/>
  <c r="CS55" i="1" s="1"/>
  <c r="CT55" i="1" s="1"/>
  <c r="CW55" i="1" s="1"/>
  <c r="CJ55" i="1"/>
  <c r="CF55" i="1"/>
  <c r="CE55" i="1"/>
  <c r="CG55" i="1" s="1"/>
  <c r="BZ55" i="1"/>
  <c r="CA55" i="1" s="1"/>
  <c r="CB55" i="1" s="1"/>
  <c r="BO55" i="1"/>
  <c r="BM55" i="1"/>
  <c r="BL55" i="1"/>
  <c r="BK55" i="1"/>
  <c r="DB55" i="1" s="1"/>
  <c r="BG55" i="1"/>
  <c r="BD55" i="1"/>
  <c r="BC55" i="1"/>
  <c r="BA55" i="1"/>
  <c r="AZ55" i="1"/>
  <c r="BF55" i="1" s="1"/>
  <c r="AY55" i="1"/>
  <c r="BE55" i="1" s="1"/>
  <c r="AX55" i="1"/>
  <c r="AW55" i="1"/>
  <c r="AV55" i="1"/>
  <c r="BB55" i="1" s="1"/>
  <c r="AO55" i="1"/>
  <c r="AL55" i="1"/>
  <c r="AK55" i="1"/>
  <c r="AI55" i="1"/>
  <c r="AH55" i="1"/>
  <c r="AN55" i="1" s="1"/>
  <c r="AG55" i="1"/>
  <c r="AM55" i="1" s="1"/>
  <c r="AF55" i="1"/>
  <c r="AE55" i="1"/>
  <c r="AD55" i="1"/>
  <c r="AJ55" i="1" s="1"/>
  <c r="W55" i="1"/>
  <c r="V55" i="1"/>
  <c r="U55" i="1"/>
  <c r="DT55" i="1" s="1"/>
  <c r="FC55" i="1" s="1"/>
  <c r="Q55" i="1"/>
  <c r="R55" i="1" s="1"/>
  <c r="P55" i="1"/>
  <c r="M55" i="1"/>
  <c r="FE54" i="1"/>
  <c r="FD54" i="1"/>
  <c r="FB54" i="1"/>
  <c r="FA54" i="1"/>
  <c r="EZ54" i="1"/>
  <c r="EY54" i="1"/>
  <c r="EX54" i="1"/>
  <c r="EW54" i="1"/>
  <c r="EV54" i="1"/>
  <c r="DS54" i="1"/>
  <c r="DF54" i="1"/>
  <c r="DE54" i="1"/>
  <c r="DD54" i="1"/>
  <c r="DC54" i="1"/>
  <c r="DA54" i="1"/>
  <c r="CV54" i="1"/>
  <c r="CU54" i="1"/>
  <c r="CO54" i="1"/>
  <c r="CP54" i="1" s="1"/>
  <c r="CR54" i="1" s="1"/>
  <c r="CS54" i="1" s="1"/>
  <c r="CT54" i="1" s="1"/>
  <c r="CW54" i="1" s="1"/>
  <c r="CJ54" i="1"/>
  <c r="CF54" i="1"/>
  <c r="CE54" i="1"/>
  <c r="CG54" i="1" s="1"/>
  <c r="BZ54" i="1"/>
  <c r="CA54" i="1" s="1"/>
  <c r="CB54" i="1" s="1"/>
  <c r="BO54" i="1"/>
  <c r="BM54" i="1"/>
  <c r="BL54" i="1"/>
  <c r="BK54" i="1"/>
  <c r="DB54" i="1" s="1"/>
  <c r="BG54" i="1"/>
  <c r="BD54" i="1"/>
  <c r="BC54" i="1"/>
  <c r="BA54" i="1"/>
  <c r="AZ54" i="1"/>
  <c r="BF54" i="1" s="1"/>
  <c r="AY54" i="1"/>
  <c r="BE54" i="1" s="1"/>
  <c r="AX54" i="1"/>
  <c r="AW54" i="1"/>
  <c r="AV54" i="1"/>
  <c r="BB54" i="1" s="1"/>
  <c r="AO54" i="1"/>
  <c r="AL54" i="1"/>
  <c r="AK54" i="1"/>
  <c r="AI54" i="1"/>
  <c r="AH54" i="1"/>
  <c r="AN54" i="1" s="1"/>
  <c r="AG54" i="1"/>
  <c r="AM54" i="1" s="1"/>
  <c r="AF54" i="1"/>
  <c r="AE54" i="1"/>
  <c r="AD54" i="1"/>
  <c r="AJ54" i="1" s="1"/>
  <c r="W54" i="1"/>
  <c r="V54" i="1"/>
  <c r="U54" i="1"/>
  <c r="DT54" i="1" s="1"/>
  <c r="FC54" i="1" s="1"/>
  <c r="Q54" i="1"/>
  <c r="R54" i="1" s="1"/>
  <c r="P54" i="1"/>
  <c r="M54" i="1"/>
  <c r="FE53" i="1"/>
  <c r="FD53" i="1"/>
  <c r="FB53" i="1"/>
  <c r="FA53" i="1"/>
  <c r="EZ53" i="1"/>
  <c r="EY53" i="1"/>
  <c r="EX53" i="1"/>
  <c r="EW53" i="1"/>
  <c r="EV53" i="1"/>
  <c r="DS53" i="1"/>
  <c r="DF53" i="1"/>
  <c r="DE53" i="1"/>
  <c r="DD53" i="1"/>
  <c r="DC53" i="1"/>
  <c r="DA53" i="1"/>
  <c r="DG53" i="1" s="1"/>
  <c r="ET53" i="1" s="1"/>
  <c r="CV53" i="1"/>
  <c r="CU53" i="1"/>
  <c r="CO53" i="1"/>
  <c r="CP53" i="1" s="1"/>
  <c r="CR53" i="1" s="1"/>
  <c r="CS53" i="1" s="1"/>
  <c r="CT53" i="1" s="1"/>
  <c r="CW53" i="1" s="1"/>
  <c r="CJ53" i="1"/>
  <c r="CF53" i="1"/>
  <c r="CE53" i="1"/>
  <c r="CG53" i="1" s="1"/>
  <c r="CB53" i="1"/>
  <c r="BZ53" i="1"/>
  <c r="CA53" i="1" s="1"/>
  <c r="BO53" i="1"/>
  <c r="BM53" i="1"/>
  <c r="BL53" i="1"/>
  <c r="BK53" i="1"/>
  <c r="DB53" i="1" s="1"/>
  <c r="BG53" i="1"/>
  <c r="BD53" i="1"/>
  <c r="BC53" i="1"/>
  <c r="BA53" i="1"/>
  <c r="AZ53" i="1"/>
  <c r="BF53" i="1" s="1"/>
  <c r="AY53" i="1"/>
  <c r="BE53" i="1" s="1"/>
  <c r="AX53" i="1"/>
  <c r="AW53" i="1"/>
  <c r="AV53" i="1"/>
  <c r="BB53" i="1" s="1"/>
  <c r="AO53" i="1"/>
  <c r="AL53" i="1"/>
  <c r="AK53" i="1"/>
  <c r="AI53" i="1"/>
  <c r="AH53" i="1"/>
  <c r="AN53" i="1" s="1"/>
  <c r="AG53" i="1"/>
  <c r="AM53" i="1" s="1"/>
  <c r="AF53" i="1"/>
  <c r="AE53" i="1"/>
  <c r="AD53" i="1"/>
  <c r="AJ53" i="1" s="1"/>
  <c r="W53" i="1"/>
  <c r="V53" i="1"/>
  <c r="U53" i="1"/>
  <c r="DT53" i="1" s="1"/>
  <c r="FC53" i="1" s="1"/>
  <c r="Q53" i="1"/>
  <c r="R53" i="1" s="1"/>
  <c r="P53" i="1"/>
  <c r="M53" i="1"/>
  <c r="FE52" i="1"/>
  <c r="FD52" i="1"/>
  <c r="FB52" i="1"/>
  <c r="FA52" i="1"/>
  <c r="EZ52" i="1"/>
  <c r="EY52" i="1"/>
  <c r="EX52" i="1"/>
  <c r="EW52" i="1"/>
  <c r="EV52" i="1"/>
  <c r="DS52" i="1"/>
  <c r="DF52" i="1"/>
  <c r="DE52" i="1"/>
  <c r="DD52" i="1"/>
  <c r="DC52" i="1"/>
  <c r="DA52" i="1"/>
  <c r="CV52" i="1"/>
  <c r="CU52" i="1"/>
  <c r="CR52" i="1"/>
  <c r="CS52" i="1" s="1"/>
  <c r="CT52" i="1" s="1"/>
  <c r="CW52" i="1" s="1"/>
  <c r="CO52" i="1"/>
  <c r="CP52" i="1" s="1"/>
  <c r="CJ52" i="1"/>
  <c r="CF52" i="1"/>
  <c r="CE52" i="1"/>
  <c r="CG52" i="1" s="1"/>
  <c r="BZ52" i="1"/>
  <c r="CA52" i="1" s="1"/>
  <c r="CB52" i="1" s="1"/>
  <c r="BO52" i="1"/>
  <c r="BM52" i="1"/>
  <c r="BL52" i="1"/>
  <c r="BK52" i="1"/>
  <c r="DB52" i="1" s="1"/>
  <c r="BG52" i="1"/>
  <c r="BD52" i="1"/>
  <c r="BC52" i="1"/>
  <c r="BA52" i="1"/>
  <c r="AZ52" i="1"/>
  <c r="BF52" i="1" s="1"/>
  <c r="AY52" i="1"/>
  <c r="BE52" i="1" s="1"/>
  <c r="AX52" i="1"/>
  <c r="AW52" i="1"/>
  <c r="AV52" i="1"/>
  <c r="BB52" i="1" s="1"/>
  <c r="AO52" i="1"/>
  <c r="AL52" i="1"/>
  <c r="AK52" i="1"/>
  <c r="AI52" i="1"/>
  <c r="AH52" i="1"/>
  <c r="AN52" i="1" s="1"/>
  <c r="AG52" i="1"/>
  <c r="AM52" i="1" s="1"/>
  <c r="AF52" i="1"/>
  <c r="AE52" i="1"/>
  <c r="AD52" i="1"/>
  <c r="AJ52" i="1" s="1"/>
  <c r="BH52" i="1" s="1"/>
  <c r="W52" i="1"/>
  <c r="V52" i="1"/>
  <c r="U52" i="1"/>
  <c r="DT52" i="1" s="1"/>
  <c r="FC52" i="1" s="1"/>
  <c r="Q52" i="1"/>
  <c r="R52" i="1" s="1"/>
  <c r="P52" i="1"/>
  <c r="M52" i="1"/>
  <c r="FE51" i="1"/>
  <c r="FD51" i="1"/>
  <c r="FB51" i="1"/>
  <c r="FA51" i="1"/>
  <c r="EZ51" i="1"/>
  <c r="EY51" i="1"/>
  <c r="EX51" i="1"/>
  <c r="EW51" i="1"/>
  <c r="EV51" i="1"/>
  <c r="ER51" i="1"/>
  <c r="DS51" i="1"/>
  <c r="DF51" i="1"/>
  <c r="DE51" i="1"/>
  <c r="DD51" i="1"/>
  <c r="DC51" i="1"/>
  <c r="DA51" i="1"/>
  <c r="DG51" i="1" s="1"/>
  <c r="ET51" i="1" s="1"/>
  <c r="CV51" i="1"/>
  <c r="CU51" i="1"/>
  <c r="CR51" i="1"/>
  <c r="CS51" i="1" s="1"/>
  <c r="CT51" i="1" s="1"/>
  <c r="CW51" i="1" s="1"/>
  <c r="CO51" i="1"/>
  <c r="CP51" i="1" s="1"/>
  <c r="CJ51" i="1"/>
  <c r="CF51" i="1"/>
  <c r="CE51" i="1"/>
  <c r="CG51" i="1" s="1"/>
  <c r="CB51" i="1"/>
  <c r="BZ51" i="1"/>
  <c r="CA51" i="1" s="1"/>
  <c r="BO51" i="1"/>
  <c r="BM51" i="1"/>
  <c r="BL51" i="1"/>
  <c r="BK51" i="1"/>
  <c r="DB51" i="1" s="1"/>
  <c r="BE51" i="1"/>
  <c r="BD51" i="1"/>
  <c r="BA51" i="1"/>
  <c r="BG51" i="1" s="1"/>
  <c r="AZ51" i="1"/>
  <c r="BF51" i="1" s="1"/>
  <c r="AY51" i="1"/>
  <c r="AX51" i="1"/>
  <c r="AW51" i="1"/>
  <c r="BC51" i="1" s="1"/>
  <c r="AV51" i="1"/>
  <c r="BB51" i="1" s="1"/>
  <c r="AL51" i="1"/>
  <c r="AK51" i="1"/>
  <c r="AI51" i="1"/>
  <c r="AO51" i="1" s="1"/>
  <c r="AH51" i="1"/>
  <c r="AN51" i="1" s="1"/>
  <c r="AG51" i="1"/>
  <c r="AM51" i="1" s="1"/>
  <c r="AF51" i="1"/>
  <c r="AE51" i="1"/>
  <c r="AD51" i="1"/>
  <c r="AJ51" i="1" s="1"/>
  <c r="W51" i="1"/>
  <c r="V51" i="1"/>
  <c r="U51" i="1"/>
  <c r="DT51" i="1" s="1"/>
  <c r="FC51" i="1" s="1"/>
  <c r="Q51" i="1"/>
  <c r="R51" i="1" s="1"/>
  <c r="P51" i="1"/>
  <c r="M51" i="1"/>
  <c r="FE50" i="1"/>
  <c r="FD50" i="1"/>
  <c r="FB50" i="1"/>
  <c r="FA50" i="1"/>
  <c r="EZ50" i="1"/>
  <c r="EY50" i="1"/>
  <c r="EX50" i="1"/>
  <c r="EW50" i="1"/>
  <c r="EV50" i="1"/>
  <c r="DS50" i="1"/>
  <c r="DF50" i="1"/>
  <c r="DE50" i="1"/>
  <c r="DD50" i="1"/>
  <c r="DC50" i="1"/>
  <c r="DA50" i="1"/>
  <c r="DG50" i="1" s="1"/>
  <c r="ET50" i="1" s="1"/>
  <c r="CV50" i="1"/>
  <c r="CU50" i="1"/>
  <c r="CO50" i="1"/>
  <c r="CP50" i="1" s="1"/>
  <c r="CR50" i="1" s="1"/>
  <c r="CS50" i="1" s="1"/>
  <c r="CT50" i="1" s="1"/>
  <c r="CW50" i="1" s="1"/>
  <c r="CJ50" i="1"/>
  <c r="CF50" i="1"/>
  <c r="CE50" i="1"/>
  <c r="CB50" i="1"/>
  <c r="BZ50" i="1"/>
  <c r="CA50" i="1" s="1"/>
  <c r="BO50" i="1"/>
  <c r="BM50" i="1"/>
  <c r="BL50" i="1"/>
  <c r="BK50" i="1"/>
  <c r="DB50" i="1" s="1"/>
  <c r="BD50" i="1"/>
  <c r="BA50" i="1"/>
  <c r="BG50" i="1" s="1"/>
  <c r="AZ50" i="1"/>
  <c r="BF50" i="1" s="1"/>
  <c r="AY50" i="1"/>
  <c r="BE50" i="1" s="1"/>
  <c r="AX50" i="1"/>
  <c r="AW50" i="1"/>
  <c r="BC50" i="1" s="1"/>
  <c r="AV50" i="1"/>
  <c r="BB50" i="1" s="1"/>
  <c r="AL50" i="1"/>
  <c r="AI50" i="1"/>
  <c r="AO50" i="1" s="1"/>
  <c r="AH50" i="1"/>
  <c r="AN50" i="1" s="1"/>
  <c r="AG50" i="1"/>
  <c r="AM50" i="1" s="1"/>
  <c r="AF50" i="1"/>
  <c r="AE50" i="1"/>
  <c r="AK50" i="1" s="1"/>
  <c r="AD50" i="1"/>
  <c r="AJ50" i="1" s="1"/>
  <c r="W50" i="1"/>
  <c r="V50" i="1"/>
  <c r="U50" i="1"/>
  <c r="DT50" i="1" s="1"/>
  <c r="FC50" i="1" s="1"/>
  <c r="Q50" i="1"/>
  <c r="R50" i="1" s="1"/>
  <c r="P50" i="1"/>
  <c r="M50" i="1"/>
  <c r="FE49" i="1"/>
  <c r="FD49" i="1"/>
  <c r="FB49" i="1"/>
  <c r="FA49" i="1"/>
  <c r="EZ49" i="1"/>
  <c r="EY49" i="1"/>
  <c r="EX49" i="1"/>
  <c r="EW49" i="1"/>
  <c r="EV49" i="1"/>
  <c r="DT49" i="1"/>
  <c r="FC49" i="1" s="1"/>
  <c r="DS49" i="1"/>
  <c r="DF49" i="1"/>
  <c r="DE49" i="1"/>
  <c r="DD49" i="1"/>
  <c r="DC49" i="1"/>
  <c r="DA49" i="1"/>
  <c r="CV49" i="1"/>
  <c r="CU49" i="1"/>
  <c r="CO49" i="1"/>
  <c r="CP49" i="1" s="1"/>
  <c r="CR49" i="1" s="1"/>
  <c r="CS49" i="1" s="1"/>
  <c r="CT49" i="1" s="1"/>
  <c r="CW49" i="1" s="1"/>
  <c r="CJ49" i="1"/>
  <c r="CF49" i="1"/>
  <c r="CG49" i="1" s="1"/>
  <c r="CE49" i="1"/>
  <c r="BZ49" i="1"/>
  <c r="CA49" i="1" s="1"/>
  <c r="CB49" i="1" s="1"/>
  <c r="BO49" i="1"/>
  <c r="BM49" i="1"/>
  <c r="BL49" i="1"/>
  <c r="BK49" i="1"/>
  <c r="DB49" i="1" s="1"/>
  <c r="BG49" i="1"/>
  <c r="BF49" i="1"/>
  <c r="BC49" i="1"/>
  <c r="BB49" i="1"/>
  <c r="BA49" i="1"/>
  <c r="AZ49" i="1"/>
  <c r="AY49" i="1"/>
  <c r="BE49" i="1" s="1"/>
  <c r="AX49" i="1"/>
  <c r="BD49" i="1" s="1"/>
  <c r="AW49" i="1"/>
  <c r="AV49" i="1"/>
  <c r="AO49" i="1"/>
  <c r="AN49" i="1"/>
  <c r="AK49" i="1"/>
  <c r="AJ49" i="1"/>
  <c r="AI49" i="1"/>
  <c r="AH49" i="1"/>
  <c r="AG49" i="1"/>
  <c r="AM49" i="1" s="1"/>
  <c r="AF49" i="1"/>
  <c r="AL49" i="1" s="1"/>
  <c r="AE49" i="1"/>
  <c r="AD49" i="1"/>
  <c r="W49" i="1"/>
  <c r="V49" i="1"/>
  <c r="U49" i="1"/>
  <c r="Q49" i="1"/>
  <c r="P49" i="1"/>
  <c r="R49" i="1" s="1"/>
  <c r="M49" i="1"/>
  <c r="FE48" i="1"/>
  <c r="FD48" i="1"/>
  <c r="FB48" i="1"/>
  <c r="FA48" i="1"/>
  <c r="EZ48" i="1"/>
  <c r="EY48" i="1"/>
  <c r="EX48" i="1"/>
  <c r="EW48" i="1"/>
  <c r="EV48" i="1"/>
  <c r="DS48" i="1"/>
  <c r="DF48" i="1"/>
  <c r="DE48" i="1"/>
  <c r="DD48" i="1"/>
  <c r="DC48" i="1"/>
  <c r="DA48" i="1"/>
  <c r="CV48" i="1"/>
  <c r="CU48" i="1"/>
  <c r="CO48" i="1"/>
  <c r="CP48" i="1" s="1"/>
  <c r="CR48" i="1" s="1"/>
  <c r="CS48" i="1" s="1"/>
  <c r="CT48" i="1" s="1"/>
  <c r="CW48" i="1" s="1"/>
  <c r="CJ48" i="1"/>
  <c r="CF48" i="1"/>
  <c r="CE48" i="1"/>
  <c r="CG48" i="1" s="1"/>
  <c r="BZ48" i="1"/>
  <c r="CA48" i="1" s="1"/>
  <c r="CB48" i="1" s="1"/>
  <c r="BO48" i="1"/>
  <c r="BM48" i="1"/>
  <c r="BL48" i="1"/>
  <c r="BK48" i="1"/>
  <c r="DB48" i="1" s="1"/>
  <c r="BG48" i="1"/>
  <c r="BC48" i="1"/>
  <c r="BA48" i="1"/>
  <c r="AZ48" i="1"/>
  <c r="BF48" i="1" s="1"/>
  <c r="AY48" i="1"/>
  <c r="BE48" i="1" s="1"/>
  <c r="AX48" i="1"/>
  <c r="BD48" i="1" s="1"/>
  <c r="AW48" i="1"/>
  <c r="AV48" i="1"/>
  <c r="BB48" i="1" s="1"/>
  <c r="AO48" i="1"/>
  <c r="AK48" i="1"/>
  <c r="AI48" i="1"/>
  <c r="AH48" i="1"/>
  <c r="AN48" i="1" s="1"/>
  <c r="AG48" i="1"/>
  <c r="AM48" i="1" s="1"/>
  <c r="AF48" i="1"/>
  <c r="AL48" i="1" s="1"/>
  <c r="AE48" i="1"/>
  <c r="AD48" i="1"/>
  <c r="AJ48" i="1" s="1"/>
  <c r="BH48" i="1" s="1"/>
  <c r="W48" i="1"/>
  <c r="V48" i="1"/>
  <c r="U48" i="1"/>
  <c r="DT48" i="1" s="1"/>
  <c r="FC48" i="1" s="1"/>
  <c r="Q48" i="1"/>
  <c r="P48" i="1"/>
  <c r="R48" i="1" s="1"/>
  <c r="M48" i="1"/>
  <c r="FE47" i="1"/>
  <c r="FD47" i="1"/>
  <c r="FB47" i="1"/>
  <c r="FA47" i="1"/>
  <c r="EZ47" i="1"/>
  <c r="EY47" i="1"/>
  <c r="EX47" i="1"/>
  <c r="EW47" i="1"/>
  <c r="EV47" i="1"/>
  <c r="DS47" i="1"/>
  <c r="DF47" i="1"/>
  <c r="DE47" i="1"/>
  <c r="DD47" i="1"/>
  <c r="DC47" i="1"/>
  <c r="DA47" i="1"/>
  <c r="CV47" i="1"/>
  <c r="CU47" i="1"/>
  <c r="CO47" i="1"/>
  <c r="CP47" i="1" s="1"/>
  <c r="CR47" i="1" s="1"/>
  <c r="CS47" i="1" s="1"/>
  <c r="CT47" i="1" s="1"/>
  <c r="CW47" i="1" s="1"/>
  <c r="CJ47" i="1"/>
  <c r="CF47" i="1"/>
  <c r="CE47" i="1"/>
  <c r="CG47" i="1" s="1"/>
  <c r="BZ47" i="1"/>
  <c r="CA47" i="1" s="1"/>
  <c r="CB47" i="1" s="1"/>
  <c r="BO47" i="1"/>
  <c r="BM47" i="1"/>
  <c r="BL47" i="1"/>
  <c r="BK47" i="1"/>
  <c r="DB47" i="1" s="1"/>
  <c r="BG47" i="1"/>
  <c r="BC47" i="1"/>
  <c r="BA47" i="1"/>
  <c r="AZ47" i="1"/>
  <c r="BF47" i="1" s="1"/>
  <c r="AY47" i="1"/>
  <c r="BE47" i="1" s="1"/>
  <c r="AX47" i="1"/>
  <c r="BD47" i="1" s="1"/>
  <c r="AW47" i="1"/>
  <c r="AV47" i="1"/>
  <c r="BB47" i="1" s="1"/>
  <c r="AO47" i="1"/>
  <c r="AK47" i="1"/>
  <c r="AI47" i="1"/>
  <c r="AH47" i="1"/>
  <c r="AN47" i="1" s="1"/>
  <c r="AG47" i="1"/>
  <c r="AM47" i="1" s="1"/>
  <c r="AF47" i="1"/>
  <c r="AL47" i="1" s="1"/>
  <c r="AE47" i="1"/>
  <c r="AD47" i="1"/>
  <c r="AJ47" i="1" s="1"/>
  <c r="BH47" i="1" s="1"/>
  <c r="W47" i="1"/>
  <c r="V47" i="1"/>
  <c r="U47" i="1"/>
  <c r="DT47" i="1" s="1"/>
  <c r="FC47" i="1" s="1"/>
  <c r="Q47" i="1"/>
  <c r="P47" i="1"/>
  <c r="R47" i="1" s="1"/>
  <c r="M47" i="1"/>
  <c r="FE46" i="1"/>
  <c r="FD46" i="1"/>
  <c r="FB46" i="1"/>
  <c r="FA46" i="1"/>
  <c r="EZ46" i="1"/>
  <c r="EY46" i="1"/>
  <c r="EX46" i="1"/>
  <c r="EW46" i="1"/>
  <c r="EV46" i="1"/>
  <c r="DS46" i="1"/>
  <c r="DF46" i="1"/>
  <c r="DE46" i="1"/>
  <c r="DD46" i="1"/>
  <c r="DC46" i="1"/>
  <c r="DA46" i="1"/>
  <c r="CV46" i="1"/>
  <c r="CU46" i="1"/>
  <c r="CO46" i="1"/>
  <c r="CP46" i="1" s="1"/>
  <c r="CR46" i="1" s="1"/>
  <c r="CS46" i="1" s="1"/>
  <c r="CT46" i="1" s="1"/>
  <c r="CW46" i="1" s="1"/>
  <c r="CJ46" i="1"/>
  <c r="CF46" i="1"/>
  <c r="CE46" i="1"/>
  <c r="CG46" i="1" s="1"/>
  <c r="BZ46" i="1"/>
  <c r="CA46" i="1" s="1"/>
  <c r="CB46" i="1" s="1"/>
  <c r="BO46" i="1"/>
  <c r="BM46" i="1"/>
  <c r="BL46" i="1"/>
  <c r="BK46" i="1"/>
  <c r="DB46" i="1" s="1"/>
  <c r="BG46" i="1"/>
  <c r="BC46" i="1"/>
  <c r="BA46" i="1"/>
  <c r="AZ46" i="1"/>
  <c r="BF46" i="1" s="1"/>
  <c r="AY46" i="1"/>
  <c r="BE46" i="1" s="1"/>
  <c r="AX46" i="1"/>
  <c r="BD46" i="1" s="1"/>
  <c r="AW46" i="1"/>
  <c r="AV46" i="1"/>
  <c r="BB46" i="1" s="1"/>
  <c r="AO46" i="1"/>
  <c r="AK46" i="1"/>
  <c r="AI46" i="1"/>
  <c r="AH46" i="1"/>
  <c r="AN46" i="1" s="1"/>
  <c r="AG46" i="1"/>
  <c r="AM46" i="1" s="1"/>
  <c r="AF46" i="1"/>
  <c r="AL46" i="1" s="1"/>
  <c r="AE46" i="1"/>
  <c r="AD46" i="1"/>
  <c r="AJ46" i="1" s="1"/>
  <c r="BH46" i="1" s="1"/>
  <c r="W46" i="1"/>
  <c r="V46" i="1"/>
  <c r="U46" i="1"/>
  <c r="DT46" i="1" s="1"/>
  <c r="FC46" i="1" s="1"/>
  <c r="Q46" i="1"/>
  <c r="R46" i="1" s="1"/>
  <c r="P46" i="1"/>
  <c r="M46" i="1"/>
  <c r="FE45" i="1"/>
  <c r="FD45" i="1"/>
  <c r="FB45" i="1"/>
  <c r="FA45" i="1"/>
  <c r="EZ45" i="1"/>
  <c r="EY45" i="1"/>
  <c r="EX45" i="1"/>
  <c r="EW45" i="1"/>
  <c r="EV45" i="1"/>
  <c r="DS45" i="1"/>
  <c r="DF45" i="1"/>
  <c r="DE45" i="1"/>
  <c r="DD45" i="1"/>
  <c r="DC45" i="1"/>
  <c r="DA45" i="1"/>
  <c r="CV45" i="1"/>
  <c r="CU45" i="1"/>
  <c r="CO45" i="1"/>
  <c r="CP45" i="1" s="1"/>
  <c r="CR45" i="1" s="1"/>
  <c r="CS45" i="1" s="1"/>
  <c r="CT45" i="1" s="1"/>
  <c r="CW45" i="1" s="1"/>
  <c r="CJ45" i="1"/>
  <c r="CF45" i="1"/>
  <c r="CE45" i="1"/>
  <c r="CG45" i="1" s="1"/>
  <c r="BZ45" i="1"/>
  <c r="CA45" i="1" s="1"/>
  <c r="CB45" i="1" s="1"/>
  <c r="BO45" i="1"/>
  <c r="BM45" i="1"/>
  <c r="BL45" i="1"/>
  <c r="BK45" i="1"/>
  <c r="DB45" i="1" s="1"/>
  <c r="BG45" i="1"/>
  <c r="BD45" i="1"/>
  <c r="BC45" i="1"/>
  <c r="BA45" i="1"/>
  <c r="AZ45" i="1"/>
  <c r="BF45" i="1" s="1"/>
  <c r="AY45" i="1"/>
  <c r="BE45" i="1" s="1"/>
  <c r="AX45" i="1"/>
  <c r="AW45" i="1"/>
  <c r="AV45" i="1"/>
  <c r="BB45" i="1" s="1"/>
  <c r="AO45" i="1"/>
  <c r="AL45" i="1"/>
  <c r="AK45" i="1"/>
  <c r="AI45" i="1"/>
  <c r="AH45" i="1"/>
  <c r="AN45" i="1" s="1"/>
  <c r="AG45" i="1"/>
  <c r="AM45" i="1" s="1"/>
  <c r="AF45" i="1"/>
  <c r="AE45" i="1"/>
  <c r="AD45" i="1"/>
  <c r="AJ45" i="1" s="1"/>
  <c r="W45" i="1"/>
  <c r="V45" i="1"/>
  <c r="U45" i="1"/>
  <c r="DT45" i="1" s="1"/>
  <c r="FC45" i="1" s="1"/>
  <c r="Q45" i="1"/>
  <c r="R45" i="1" s="1"/>
  <c r="P45" i="1"/>
  <c r="M45" i="1"/>
  <c r="FE44" i="1"/>
  <c r="FD44" i="1"/>
  <c r="FB44" i="1"/>
  <c r="FA44" i="1"/>
  <c r="EZ44" i="1"/>
  <c r="EY44" i="1"/>
  <c r="EX44" i="1"/>
  <c r="EW44" i="1"/>
  <c r="EV44" i="1"/>
  <c r="DS44" i="1"/>
  <c r="DF44" i="1"/>
  <c r="DE44" i="1"/>
  <c r="DD44" i="1"/>
  <c r="DC44" i="1"/>
  <c r="DA44" i="1"/>
  <c r="CV44" i="1"/>
  <c r="CU44" i="1"/>
  <c r="CR44" i="1"/>
  <c r="CS44" i="1" s="1"/>
  <c r="CT44" i="1" s="1"/>
  <c r="CW44" i="1" s="1"/>
  <c r="CP44" i="1"/>
  <c r="CO44" i="1"/>
  <c r="CJ44" i="1"/>
  <c r="CF44" i="1"/>
  <c r="CE44" i="1"/>
  <c r="CG44" i="1" s="1"/>
  <c r="BZ44" i="1"/>
  <c r="CA44" i="1" s="1"/>
  <c r="CB44" i="1" s="1"/>
  <c r="BO44" i="1"/>
  <c r="BM44" i="1"/>
  <c r="BL44" i="1"/>
  <c r="BK44" i="1"/>
  <c r="DB44" i="1" s="1"/>
  <c r="BG44" i="1"/>
  <c r="BD44" i="1"/>
  <c r="BC44" i="1"/>
  <c r="BA44" i="1"/>
  <c r="AZ44" i="1"/>
  <c r="BF44" i="1" s="1"/>
  <c r="AY44" i="1"/>
  <c r="BE44" i="1" s="1"/>
  <c r="AX44" i="1"/>
  <c r="AW44" i="1"/>
  <c r="AV44" i="1"/>
  <c r="BB44" i="1" s="1"/>
  <c r="AO44" i="1"/>
  <c r="AL44" i="1"/>
  <c r="AK44" i="1"/>
  <c r="AI44" i="1"/>
  <c r="AH44" i="1"/>
  <c r="AN44" i="1" s="1"/>
  <c r="AG44" i="1"/>
  <c r="AM44" i="1" s="1"/>
  <c r="AF44" i="1"/>
  <c r="AE44" i="1"/>
  <c r="AD44" i="1"/>
  <c r="AJ44" i="1" s="1"/>
  <c r="W44" i="1"/>
  <c r="V44" i="1"/>
  <c r="U44" i="1"/>
  <c r="DT44" i="1" s="1"/>
  <c r="FC44" i="1" s="1"/>
  <c r="Q44" i="1"/>
  <c r="R44" i="1" s="1"/>
  <c r="P44" i="1"/>
  <c r="M44" i="1"/>
  <c r="FE43" i="1"/>
  <c r="FD43" i="1"/>
  <c r="FB43" i="1"/>
  <c r="FA43" i="1"/>
  <c r="EZ43" i="1"/>
  <c r="EY43" i="1"/>
  <c r="EX43" i="1"/>
  <c r="EW43" i="1"/>
  <c r="EV43" i="1"/>
  <c r="DS43" i="1"/>
  <c r="A3" i="2" s="1"/>
  <c r="DF43" i="1"/>
  <c r="DE43" i="1"/>
  <c r="DD43" i="1"/>
  <c r="DC43" i="1"/>
  <c r="DB43" i="1"/>
  <c r="DA43" i="1"/>
  <c r="DG43" i="1" s="1"/>
  <c r="ET43" i="1" s="1"/>
  <c r="CV43" i="1"/>
  <c r="CU43" i="1"/>
  <c r="CO43" i="1"/>
  <c r="CP43" i="1" s="1"/>
  <c r="CR43" i="1" s="1"/>
  <c r="CS43" i="1" s="1"/>
  <c r="CT43" i="1" s="1"/>
  <c r="CW43" i="1" s="1"/>
  <c r="CJ43" i="1"/>
  <c r="CF43" i="1"/>
  <c r="CE43" i="1"/>
  <c r="CG43" i="1" s="1"/>
  <c r="CB43" i="1"/>
  <c r="BZ43" i="1"/>
  <c r="CA43" i="1" s="1"/>
  <c r="BO43" i="1"/>
  <c r="BM43" i="1"/>
  <c r="BL43" i="1"/>
  <c r="BK43" i="1"/>
  <c r="BG43" i="1"/>
  <c r="BD43" i="1"/>
  <c r="BC43" i="1"/>
  <c r="BA43" i="1"/>
  <c r="AZ43" i="1"/>
  <c r="BF43" i="1" s="1"/>
  <c r="AY43" i="1"/>
  <c r="BE43" i="1" s="1"/>
  <c r="AX43" i="1"/>
  <c r="AW43" i="1"/>
  <c r="AV43" i="1"/>
  <c r="BB43" i="1" s="1"/>
  <c r="AO43" i="1"/>
  <c r="AL43" i="1"/>
  <c r="AK43" i="1"/>
  <c r="AI43" i="1"/>
  <c r="AH43" i="1"/>
  <c r="AN43" i="1" s="1"/>
  <c r="AG43" i="1"/>
  <c r="AM43" i="1" s="1"/>
  <c r="AF43" i="1"/>
  <c r="AE43" i="1"/>
  <c r="AD43" i="1"/>
  <c r="AJ43" i="1" s="1"/>
  <c r="W43" i="1"/>
  <c r="V43" i="1"/>
  <c r="U43" i="1"/>
  <c r="DT43" i="1" s="1"/>
  <c r="FC43" i="1" s="1"/>
  <c r="Q43" i="1"/>
  <c r="R43" i="1" s="1"/>
  <c r="P43" i="1"/>
  <c r="M43" i="1"/>
  <c r="FE42" i="1"/>
  <c r="FD42" i="1"/>
  <c r="FB42" i="1"/>
  <c r="FA42" i="1"/>
  <c r="EZ42" i="1"/>
  <c r="EY42" i="1"/>
  <c r="EX42" i="1"/>
  <c r="EW42" i="1"/>
  <c r="EV42" i="1"/>
  <c r="DS42" i="1"/>
  <c r="DF42" i="1"/>
  <c r="DE42" i="1"/>
  <c r="DD42" i="1"/>
  <c r="DC42" i="1"/>
  <c r="DB42" i="1"/>
  <c r="DA42" i="1"/>
  <c r="DG42" i="1" s="1"/>
  <c r="ET42" i="1" s="1"/>
  <c r="CV42" i="1"/>
  <c r="CU42" i="1"/>
  <c r="CR42" i="1"/>
  <c r="CS42" i="1" s="1"/>
  <c r="CT42" i="1" s="1"/>
  <c r="CW42" i="1" s="1"/>
  <c r="ER42" i="1" s="1"/>
  <c r="CP42" i="1"/>
  <c r="CO42" i="1"/>
  <c r="CJ42" i="1"/>
  <c r="CF42" i="1"/>
  <c r="CE42" i="1"/>
  <c r="CG42" i="1" s="1"/>
  <c r="BZ42" i="1"/>
  <c r="CA42" i="1" s="1"/>
  <c r="CB42" i="1" s="1"/>
  <c r="BO42" i="1"/>
  <c r="BM42" i="1"/>
  <c r="BL42" i="1"/>
  <c r="BK42" i="1"/>
  <c r="BG42" i="1"/>
  <c r="BD42" i="1"/>
  <c r="BC42" i="1"/>
  <c r="BA42" i="1"/>
  <c r="AZ42" i="1"/>
  <c r="BF42" i="1" s="1"/>
  <c r="AY42" i="1"/>
  <c r="BE42" i="1" s="1"/>
  <c r="AX42" i="1"/>
  <c r="AW42" i="1"/>
  <c r="AV42" i="1"/>
  <c r="BB42" i="1" s="1"/>
  <c r="AO42" i="1"/>
  <c r="AL42" i="1"/>
  <c r="AK42" i="1"/>
  <c r="AI42" i="1"/>
  <c r="AH42" i="1"/>
  <c r="AN42" i="1" s="1"/>
  <c r="AG42" i="1"/>
  <c r="AM42" i="1" s="1"/>
  <c r="AF42" i="1"/>
  <c r="AE42" i="1"/>
  <c r="AD42" i="1"/>
  <c r="AJ42" i="1" s="1"/>
  <c r="W42" i="1"/>
  <c r="V42" i="1"/>
  <c r="U42" i="1"/>
  <c r="DT42" i="1" s="1"/>
  <c r="FC42" i="1" s="1"/>
  <c r="Q42" i="1"/>
  <c r="R42" i="1" s="1"/>
  <c r="P42" i="1"/>
  <c r="M42" i="1"/>
  <c r="FE41" i="1"/>
  <c r="FD41" i="1"/>
  <c r="FB41" i="1"/>
  <c r="FA41" i="1"/>
  <c r="EZ41" i="1"/>
  <c r="EY41" i="1"/>
  <c r="EX41" i="1"/>
  <c r="EW41" i="1"/>
  <c r="EV41" i="1"/>
  <c r="DS41" i="1"/>
  <c r="DF41" i="1"/>
  <c r="DE41" i="1"/>
  <c r="DD41" i="1"/>
  <c r="DC41" i="1"/>
  <c r="DB41" i="1"/>
  <c r="DA41" i="1"/>
  <c r="DG41" i="1" s="1"/>
  <c r="ET41" i="1" s="1"/>
  <c r="CV41" i="1"/>
  <c r="CU41" i="1"/>
  <c r="CR41" i="1"/>
  <c r="CS41" i="1" s="1"/>
  <c r="CT41" i="1" s="1"/>
  <c r="CW41" i="1" s="1"/>
  <c r="CO41" i="1"/>
  <c r="CP41" i="1" s="1"/>
  <c r="CJ41" i="1"/>
  <c r="CF41" i="1"/>
  <c r="CE41" i="1"/>
  <c r="CG41" i="1" s="1"/>
  <c r="CB41" i="1"/>
  <c r="BZ41" i="1"/>
  <c r="CA41" i="1" s="1"/>
  <c r="BO41" i="1"/>
  <c r="BM41" i="1"/>
  <c r="BL41" i="1"/>
  <c r="BK41" i="1"/>
  <c r="BG41" i="1"/>
  <c r="BD41" i="1"/>
  <c r="BC41" i="1"/>
  <c r="BA41" i="1"/>
  <c r="AZ41" i="1"/>
  <c r="BF41" i="1" s="1"/>
  <c r="AY41" i="1"/>
  <c r="BE41" i="1" s="1"/>
  <c r="AX41" i="1"/>
  <c r="AW41" i="1"/>
  <c r="AV41" i="1"/>
  <c r="BB41" i="1" s="1"/>
  <c r="AO41" i="1"/>
  <c r="AL41" i="1"/>
  <c r="AK41" i="1"/>
  <c r="AI41" i="1"/>
  <c r="AH41" i="1"/>
  <c r="AN41" i="1" s="1"/>
  <c r="AG41" i="1"/>
  <c r="AM41" i="1" s="1"/>
  <c r="AF41" i="1"/>
  <c r="AE41" i="1"/>
  <c r="AD41" i="1"/>
  <c r="AJ41" i="1" s="1"/>
  <c r="BH41" i="1" s="1"/>
  <c r="W41" i="1"/>
  <c r="V41" i="1"/>
  <c r="U41" i="1"/>
  <c r="DT41" i="1" s="1"/>
  <c r="FC41" i="1" s="1"/>
  <c r="R41" i="1"/>
  <c r="Q41" i="1"/>
  <c r="P41" i="1"/>
  <c r="M41" i="1"/>
  <c r="FE40" i="1"/>
  <c r="FD40" i="1"/>
  <c r="FB40" i="1"/>
  <c r="FA40" i="1"/>
  <c r="EZ40" i="1"/>
  <c r="EY40" i="1"/>
  <c r="EX40" i="1"/>
  <c r="EW40" i="1"/>
  <c r="EV40" i="1"/>
  <c r="DS40" i="1"/>
  <c r="DF40" i="1"/>
  <c r="DE40" i="1"/>
  <c r="DD40" i="1"/>
  <c r="DC40" i="1"/>
  <c r="DB40" i="1"/>
  <c r="DA40" i="1"/>
  <c r="CV40" i="1"/>
  <c r="CU40" i="1"/>
  <c r="CR40" i="1"/>
  <c r="CS40" i="1" s="1"/>
  <c r="CT40" i="1" s="1"/>
  <c r="CW40" i="1" s="1"/>
  <c r="CP40" i="1"/>
  <c r="CO40" i="1"/>
  <c r="CJ40" i="1"/>
  <c r="CF40" i="1"/>
  <c r="CE40" i="1"/>
  <c r="CG40" i="1" s="1"/>
  <c r="BZ40" i="1"/>
  <c r="CA40" i="1" s="1"/>
  <c r="BO40" i="1"/>
  <c r="CB40" i="1" s="1"/>
  <c r="BM40" i="1"/>
  <c r="BL40" i="1"/>
  <c r="BK40" i="1"/>
  <c r="BD40" i="1"/>
  <c r="BA40" i="1"/>
  <c r="BG40" i="1" s="1"/>
  <c r="AZ40" i="1"/>
  <c r="BF40" i="1" s="1"/>
  <c r="AY40" i="1"/>
  <c r="BE40" i="1" s="1"/>
  <c r="AX40" i="1"/>
  <c r="AW40" i="1"/>
  <c r="BC40" i="1" s="1"/>
  <c r="AV40" i="1"/>
  <c r="BB40" i="1" s="1"/>
  <c r="AL40" i="1"/>
  <c r="AK40" i="1"/>
  <c r="AI40" i="1"/>
  <c r="AO40" i="1" s="1"/>
  <c r="AH40" i="1"/>
  <c r="AN40" i="1" s="1"/>
  <c r="AG40" i="1"/>
  <c r="AM40" i="1" s="1"/>
  <c r="AF40" i="1"/>
  <c r="AE40" i="1"/>
  <c r="AD40" i="1"/>
  <c r="AJ40" i="1" s="1"/>
  <c r="BH40" i="1" s="1"/>
  <c r="W40" i="1"/>
  <c r="V40" i="1"/>
  <c r="U40" i="1"/>
  <c r="DT40" i="1" s="1"/>
  <c r="FC40" i="1" s="1"/>
  <c r="R40" i="1"/>
  <c r="Q40" i="1"/>
  <c r="P40" i="1"/>
  <c r="M40" i="1"/>
  <c r="FE39" i="1"/>
  <c r="FD39" i="1"/>
  <c r="FB39" i="1"/>
  <c r="FA39" i="1"/>
  <c r="EZ39" i="1"/>
  <c r="EY39" i="1"/>
  <c r="EX39" i="1"/>
  <c r="EW39" i="1"/>
  <c r="EV39" i="1"/>
  <c r="DT39" i="1"/>
  <c r="FC39" i="1" s="1"/>
  <c r="DS39" i="1"/>
  <c r="DF39" i="1"/>
  <c r="DE39" i="1"/>
  <c r="DD39" i="1"/>
  <c r="DC39" i="1"/>
  <c r="DB39" i="1"/>
  <c r="DA39" i="1"/>
  <c r="DG39" i="1" s="1"/>
  <c r="ET39" i="1" s="1"/>
  <c r="CV39" i="1"/>
  <c r="CU39" i="1"/>
  <c r="CO39" i="1"/>
  <c r="CP39" i="1" s="1"/>
  <c r="CR39" i="1" s="1"/>
  <c r="CS39" i="1" s="1"/>
  <c r="CT39" i="1" s="1"/>
  <c r="CW39" i="1" s="1"/>
  <c r="CJ39" i="1"/>
  <c r="CF39" i="1"/>
  <c r="CE39" i="1"/>
  <c r="CG39" i="1" s="1"/>
  <c r="BZ39" i="1"/>
  <c r="CA39" i="1" s="1"/>
  <c r="BO39" i="1"/>
  <c r="BM39" i="1"/>
  <c r="BL39" i="1"/>
  <c r="BK39" i="1"/>
  <c r="BG39" i="1"/>
  <c r="BD39" i="1"/>
  <c r="BC39" i="1"/>
  <c r="BA39" i="1"/>
  <c r="AZ39" i="1"/>
  <c r="BF39" i="1" s="1"/>
  <c r="AY39" i="1"/>
  <c r="BE39" i="1" s="1"/>
  <c r="AX39" i="1"/>
  <c r="AW39" i="1"/>
  <c r="AV39" i="1"/>
  <c r="BB39" i="1" s="1"/>
  <c r="AO39" i="1"/>
  <c r="AL39" i="1"/>
  <c r="AK39" i="1"/>
  <c r="AI39" i="1"/>
  <c r="AH39" i="1"/>
  <c r="AN39" i="1" s="1"/>
  <c r="AG39" i="1"/>
  <c r="AM39" i="1" s="1"/>
  <c r="AF39" i="1"/>
  <c r="AE39" i="1"/>
  <c r="AD39" i="1"/>
  <c r="AJ39" i="1" s="1"/>
  <c r="W39" i="1"/>
  <c r="V39" i="1"/>
  <c r="U39" i="1"/>
  <c r="R39" i="1"/>
  <c r="Q39" i="1"/>
  <c r="P39" i="1"/>
  <c r="M39" i="1"/>
  <c r="FE38" i="1"/>
  <c r="FD38" i="1"/>
  <c r="FB38" i="1"/>
  <c r="FA38" i="1"/>
  <c r="EZ38" i="1"/>
  <c r="EY38" i="1"/>
  <c r="EX38" i="1"/>
  <c r="EW38" i="1"/>
  <c r="EV38" i="1"/>
  <c r="DT38" i="1"/>
  <c r="FC38" i="1" s="1"/>
  <c r="DS38" i="1"/>
  <c r="DF38" i="1"/>
  <c r="DE38" i="1"/>
  <c r="DD38" i="1"/>
  <c r="DC38" i="1"/>
  <c r="DB38" i="1"/>
  <c r="DA38" i="1"/>
  <c r="DG38" i="1" s="1"/>
  <c r="ET38" i="1" s="1"/>
  <c r="CV38" i="1"/>
  <c r="CU38" i="1"/>
  <c r="CO38" i="1"/>
  <c r="CP38" i="1" s="1"/>
  <c r="CR38" i="1" s="1"/>
  <c r="CS38" i="1" s="1"/>
  <c r="CT38" i="1" s="1"/>
  <c r="CW38" i="1" s="1"/>
  <c r="CJ38" i="1"/>
  <c r="CF38" i="1"/>
  <c r="CE38" i="1"/>
  <c r="CG38" i="1" s="1"/>
  <c r="BZ38" i="1"/>
  <c r="CA38" i="1" s="1"/>
  <c r="BO38" i="1"/>
  <c r="BM38" i="1"/>
  <c r="BL38" i="1"/>
  <c r="BK38" i="1"/>
  <c r="BG38" i="1"/>
  <c r="BD38" i="1"/>
  <c r="BC38" i="1"/>
  <c r="BA38" i="1"/>
  <c r="AZ38" i="1"/>
  <c r="BF38" i="1" s="1"/>
  <c r="AY38" i="1"/>
  <c r="BE38" i="1" s="1"/>
  <c r="AX38" i="1"/>
  <c r="AW38" i="1"/>
  <c r="AV38" i="1"/>
  <c r="BB38" i="1" s="1"/>
  <c r="AO38" i="1"/>
  <c r="AL38" i="1"/>
  <c r="AK38" i="1"/>
  <c r="AI38" i="1"/>
  <c r="AH38" i="1"/>
  <c r="AN38" i="1" s="1"/>
  <c r="AG38" i="1"/>
  <c r="AM38" i="1" s="1"/>
  <c r="AF38" i="1"/>
  <c r="AE38" i="1"/>
  <c r="AD38" i="1"/>
  <c r="AJ38" i="1" s="1"/>
  <c r="W38" i="1"/>
  <c r="V38" i="1"/>
  <c r="U38" i="1"/>
  <c r="R38" i="1"/>
  <c r="Q38" i="1"/>
  <c r="P38" i="1"/>
  <c r="M38" i="1"/>
  <c r="FE37" i="1"/>
  <c r="FD37" i="1"/>
  <c r="FB37" i="1"/>
  <c r="FA37" i="1"/>
  <c r="EZ37" i="1"/>
  <c r="EY37" i="1"/>
  <c r="EX37" i="1"/>
  <c r="EW37" i="1"/>
  <c r="EV37" i="1"/>
  <c r="DT37" i="1"/>
  <c r="FC37" i="1" s="1"/>
  <c r="DS37" i="1"/>
  <c r="DF37" i="1"/>
  <c r="DE37" i="1"/>
  <c r="DD37" i="1"/>
  <c r="DC37" i="1"/>
  <c r="DB37" i="1"/>
  <c r="DA37" i="1"/>
  <c r="DG37" i="1" s="1"/>
  <c r="ET37" i="1" s="1"/>
  <c r="CV37" i="1"/>
  <c r="CU37" i="1"/>
  <c r="CO37" i="1"/>
  <c r="CP37" i="1" s="1"/>
  <c r="CR37" i="1" s="1"/>
  <c r="CS37" i="1" s="1"/>
  <c r="CT37" i="1" s="1"/>
  <c r="CW37" i="1" s="1"/>
  <c r="CJ37" i="1"/>
  <c r="CF37" i="1"/>
  <c r="CE37" i="1"/>
  <c r="CG37" i="1" s="1"/>
  <c r="BZ37" i="1"/>
  <c r="CA37" i="1" s="1"/>
  <c r="BO37" i="1"/>
  <c r="BM37" i="1"/>
  <c r="BL37" i="1"/>
  <c r="BK37" i="1"/>
  <c r="BG37" i="1"/>
  <c r="BD37" i="1"/>
  <c r="BC37" i="1"/>
  <c r="BA37" i="1"/>
  <c r="AZ37" i="1"/>
  <c r="BF37" i="1" s="1"/>
  <c r="AY37" i="1"/>
  <c r="BE37" i="1" s="1"/>
  <c r="AX37" i="1"/>
  <c r="AW37" i="1"/>
  <c r="AV37" i="1"/>
  <c r="BB37" i="1" s="1"/>
  <c r="AO37" i="1"/>
  <c r="AL37" i="1"/>
  <c r="AK37" i="1"/>
  <c r="AI37" i="1"/>
  <c r="AH37" i="1"/>
  <c r="AN37" i="1" s="1"/>
  <c r="AG37" i="1"/>
  <c r="AM37" i="1" s="1"/>
  <c r="AF37" i="1"/>
  <c r="AE37" i="1"/>
  <c r="AD37" i="1"/>
  <c r="AJ37" i="1" s="1"/>
  <c r="W37" i="1"/>
  <c r="V37" i="1"/>
  <c r="U37" i="1"/>
  <c r="R37" i="1"/>
  <c r="Q37" i="1"/>
  <c r="P37" i="1"/>
  <c r="M37" i="1"/>
  <c r="FE36" i="1"/>
  <c r="FD36" i="1"/>
  <c r="FB36" i="1"/>
  <c r="FA36" i="1"/>
  <c r="EZ36" i="1"/>
  <c r="EY36" i="1"/>
  <c r="EX36" i="1"/>
  <c r="EW36" i="1"/>
  <c r="EV36" i="1"/>
  <c r="DT36" i="1"/>
  <c r="FC36" i="1" s="1"/>
  <c r="DS36" i="1"/>
  <c r="DF36" i="1"/>
  <c r="DE36" i="1"/>
  <c r="DD36" i="1"/>
  <c r="DC36" i="1"/>
  <c r="DB36" i="1"/>
  <c r="DA36" i="1"/>
  <c r="DG36" i="1" s="1"/>
  <c r="ET36" i="1" s="1"/>
  <c r="CV36" i="1"/>
  <c r="CU36" i="1"/>
  <c r="CO36" i="1"/>
  <c r="CP36" i="1" s="1"/>
  <c r="CR36" i="1" s="1"/>
  <c r="CS36" i="1" s="1"/>
  <c r="CT36" i="1" s="1"/>
  <c r="CW36" i="1" s="1"/>
  <c r="CJ36" i="1"/>
  <c r="CF36" i="1"/>
  <c r="CE36" i="1"/>
  <c r="CG36" i="1" s="1"/>
  <c r="BZ36" i="1"/>
  <c r="CA36" i="1" s="1"/>
  <c r="BO36" i="1"/>
  <c r="BM36" i="1"/>
  <c r="BL36" i="1"/>
  <c r="BK36" i="1"/>
  <c r="BG36" i="1"/>
  <c r="BD36" i="1"/>
  <c r="BC36" i="1"/>
  <c r="BA36" i="1"/>
  <c r="AZ36" i="1"/>
  <c r="BF36" i="1" s="1"/>
  <c r="AY36" i="1"/>
  <c r="BE36" i="1" s="1"/>
  <c r="AX36" i="1"/>
  <c r="AW36" i="1"/>
  <c r="AV36" i="1"/>
  <c r="BB36" i="1" s="1"/>
  <c r="AO36" i="1"/>
  <c r="AL36" i="1"/>
  <c r="AK36" i="1"/>
  <c r="AI36" i="1"/>
  <c r="AH36" i="1"/>
  <c r="AN36" i="1" s="1"/>
  <c r="AG36" i="1"/>
  <c r="AM36" i="1" s="1"/>
  <c r="AF36" i="1"/>
  <c r="AE36" i="1"/>
  <c r="AD36" i="1"/>
  <c r="AJ36" i="1" s="1"/>
  <c r="W36" i="1"/>
  <c r="V36" i="1"/>
  <c r="U36" i="1"/>
  <c r="R36" i="1"/>
  <c r="Q36" i="1"/>
  <c r="P36" i="1"/>
  <c r="M36" i="1"/>
  <c r="FE35" i="1"/>
  <c r="FD35" i="1"/>
  <c r="FB35" i="1"/>
  <c r="FA35" i="1"/>
  <c r="EZ35" i="1"/>
  <c r="EY35" i="1"/>
  <c r="EX35" i="1"/>
  <c r="EW35" i="1"/>
  <c r="EV35" i="1"/>
  <c r="DT35" i="1"/>
  <c r="FC35" i="1" s="1"/>
  <c r="DS35" i="1"/>
  <c r="DF35" i="1"/>
  <c r="DE35" i="1"/>
  <c r="DD35" i="1"/>
  <c r="DC35" i="1"/>
  <c r="DB35" i="1"/>
  <c r="DA35" i="1"/>
  <c r="DG35" i="1" s="1"/>
  <c r="ET35" i="1" s="1"/>
  <c r="CV35" i="1"/>
  <c r="CU35" i="1"/>
  <c r="CO35" i="1"/>
  <c r="CP35" i="1" s="1"/>
  <c r="CR35" i="1" s="1"/>
  <c r="CS35" i="1" s="1"/>
  <c r="CT35" i="1" s="1"/>
  <c r="CW35" i="1" s="1"/>
  <c r="CJ35" i="1"/>
  <c r="CF35" i="1"/>
  <c r="CE35" i="1"/>
  <c r="CG35" i="1" s="1"/>
  <c r="BZ35" i="1"/>
  <c r="CA35" i="1" s="1"/>
  <c r="BO35" i="1"/>
  <c r="BM35" i="1"/>
  <c r="BL35" i="1"/>
  <c r="BK35" i="1"/>
  <c r="BG35" i="1"/>
  <c r="BD35" i="1"/>
  <c r="BC35" i="1"/>
  <c r="BA35" i="1"/>
  <c r="AZ35" i="1"/>
  <c r="BF35" i="1" s="1"/>
  <c r="AY35" i="1"/>
  <c r="BE35" i="1" s="1"/>
  <c r="AX35" i="1"/>
  <c r="AW35" i="1"/>
  <c r="AV35" i="1"/>
  <c r="BB35" i="1" s="1"/>
  <c r="AO35" i="1"/>
  <c r="AL35" i="1"/>
  <c r="AK35" i="1"/>
  <c r="AI35" i="1"/>
  <c r="AH35" i="1"/>
  <c r="AN35" i="1" s="1"/>
  <c r="AG35" i="1"/>
  <c r="AM35" i="1" s="1"/>
  <c r="AF35" i="1"/>
  <c r="AE35" i="1"/>
  <c r="AD35" i="1"/>
  <c r="AJ35" i="1" s="1"/>
  <c r="W35" i="1"/>
  <c r="V35" i="1"/>
  <c r="U35" i="1"/>
  <c r="R35" i="1"/>
  <c r="Q35" i="1"/>
  <c r="P35" i="1"/>
  <c r="M35" i="1"/>
  <c r="FE34" i="1"/>
  <c r="FD34" i="1"/>
  <c r="FB34" i="1"/>
  <c r="FA34" i="1"/>
  <c r="EZ34" i="1"/>
  <c r="EY34" i="1"/>
  <c r="EX34" i="1"/>
  <c r="EW34" i="1"/>
  <c r="EV34" i="1"/>
  <c r="DT34" i="1"/>
  <c r="FC34" i="1" s="1"/>
  <c r="DS34" i="1"/>
  <c r="DF34" i="1"/>
  <c r="DE34" i="1"/>
  <c r="DD34" i="1"/>
  <c r="DC34" i="1"/>
  <c r="DB34" i="1"/>
  <c r="DA34" i="1"/>
  <c r="DG34" i="1" s="1"/>
  <c r="ET34" i="1" s="1"/>
  <c r="CV34" i="1"/>
  <c r="CU34" i="1"/>
  <c r="CO34" i="1"/>
  <c r="CP34" i="1" s="1"/>
  <c r="CR34" i="1" s="1"/>
  <c r="CS34" i="1" s="1"/>
  <c r="CT34" i="1" s="1"/>
  <c r="CW34" i="1" s="1"/>
  <c r="CJ34" i="1"/>
  <c r="CF34" i="1"/>
  <c r="CE34" i="1"/>
  <c r="CG34" i="1" s="1"/>
  <c r="BZ34" i="1"/>
  <c r="CA34" i="1" s="1"/>
  <c r="BO34" i="1"/>
  <c r="BM34" i="1"/>
  <c r="BL34" i="1"/>
  <c r="BK34" i="1"/>
  <c r="BG34" i="1"/>
  <c r="BD34" i="1"/>
  <c r="BC34" i="1"/>
  <c r="BA34" i="1"/>
  <c r="AZ34" i="1"/>
  <c r="BF34" i="1" s="1"/>
  <c r="AY34" i="1"/>
  <c r="BE34" i="1" s="1"/>
  <c r="AX34" i="1"/>
  <c r="AW34" i="1"/>
  <c r="AV34" i="1"/>
  <c r="BB34" i="1" s="1"/>
  <c r="AO34" i="1"/>
  <c r="AL34" i="1"/>
  <c r="AK34" i="1"/>
  <c r="AI34" i="1"/>
  <c r="AH34" i="1"/>
  <c r="AN34" i="1" s="1"/>
  <c r="AG34" i="1"/>
  <c r="AM34" i="1" s="1"/>
  <c r="AF34" i="1"/>
  <c r="AE34" i="1"/>
  <c r="AD34" i="1"/>
  <c r="AJ34" i="1" s="1"/>
  <c r="W34" i="1"/>
  <c r="V34" i="1"/>
  <c r="U34" i="1"/>
  <c r="R34" i="1"/>
  <c r="Q34" i="1"/>
  <c r="P34" i="1"/>
  <c r="M34" i="1"/>
  <c r="FE33" i="1"/>
  <c r="FD33" i="1"/>
  <c r="FB33" i="1"/>
  <c r="FA33" i="1"/>
  <c r="EZ33" i="1"/>
  <c r="EY33" i="1"/>
  <c r="EX33" i="1"/>
  <c r="EW33" i="1"/>
  <c r="EV33" i="1"/>
  <c r="DT33" i="1"/>
  <c r="FC33" i="1" s="1"/>
  <c r="DS33" i="1"/>
  <c r="DF33" i="1"/>
  <c r="DE33" i="1"/>
  <c r="DD33" i="1"/>
  <c r="DC33" i="1"/>
  <c r="DB33" i="1"/>
  <c r="DA33" i="1"/>
  <c r="DG33" i="1" s="1"/>
  <c r="ET33" i="1" s="1"/>
  <c r="CV33" i="1"/>
  <c r="CU33" i="1"/>
  <c r="CO33" i="1"/>
  <c r="CP33" i="1" s="1"/>
  <c r="CR33" i="1" s="1"/>
  <c r="CS33" i="1" s="1"/>
  <c r="CT33" i="1" s="1"/>
  <c r="CW33" i="1" s="1"/>
  <c r="CJ33" i="1"/>
  <c r="CF33" i="1"/>
  <c r="CE33" i="1"/>
  <c r="CG33" i="1" s="1"/>
  <c r="BZ33" i="1"/>
  <c r="CA33" i="1" s="1"/>
  <c r="BO33" i="1"/>
  <c r="BM33" i="1"/>
  <c r="BL33" i="1"/>
  <c r="BK33" i="1"/>
  <c r="BG33" i="1"/>
  <c r="BD33" i="1"/>
  <c r="BC33" i="1"/>
  <c r="BA33" i="1"/>
  <c r="AZ33" i="1"/>
  <c r="BF33" i="1" s="1"/>
  <c r="AY33" i="1"/>
  <c r="BE33" i="1" s="1"/>
  <c r="AX33" i="1"/>
  <c r="AW33" i="1"/>
  <c r="AV33" i="1"/>
  <c r="BB33" i="1" s="1"/>
  <c r="AO33" i="1"/>
  <c r="AL33" i="1"/>
  <c r="AK33" i="1"/>
  <c r="AI33" i="1"/>
  <c r="AH33" i="1"/>
  <c r="AN33" i="1" s="1"/>
  <c r="AG33" i="1"/>
  <c r="AM33" i="1" s="1"/>
  <c r="AF33" i="1"/>
  <c r="AE33" i="1"/>
  <c r="AD33" i="1"/>
  <c r="AJ33" i="1" s="1"/>
  <c r="BH33" i="1" s="1"/>
  <c r="W33" i="1"/>
  <c r="V33" i="1"/>
  <c r="U33" i="1"/>
  <c r="R33" i="1"/>
  <c r="Q33" i="1"/>
  <c r="P33" i="1"/>
  <c r="M33" i="1"/>
  <c r="FE32" i="1"/>
  <c r="FD32" i="1"/>
  <c r="FB32" i="1"/>
  <c r="FA32" i="1"/>
  <c r="EZ32" i="1"/>
  <c r="EY32" i="1"/>
  <c r="EX32" i="1"/>
  <c r="EW32" i="1"/>
  <c r="EV32" i="1"/>
  <c r="DT32" i="1"/>
  <c r="FC32" i="1" s="1"/>
  <c r="DS32" i="1"/>
  <c r="DF32" i="1"/>
  <c r="DE32" i="1"/>
  <c r="DD32" i="1"/>
  <c r="DC32" i="1"/>
  <c r="DB32" i="1"/>
  <c r="DA32" i="1"/>
  <c r="DG32" i="1" s="1"/>
  <c r="ET32" i="1" s="1"/>
  <c r="CV32" i="1"/>
  <c r="CU32" i="1"/>
  <c r="CO32" i="1"/>
  <c r="CP32" i="1" s="1"/>
  <c r="CR32" i="1" s="1"/>
  <c r="CS32" i="1" s="1"/>
  <c r="CT32" i="1" s="1"/>
  <c r="CW32" i="1" s="1"/>
  <c r="CJ32" i="1"/>
  <c r="CF32" i="1"/>
  <c r="CE32" i="1"/>
  <c r="CG32" i="1" s="1"/>
  <c r="BZ32" i="1"/>
  <c r="CA32" i="1" s="1"/>
  <c r="BO32" i="1"/>
  <c r="CB32" i="1" s="1"/>
  <c r="BM32" i="1"/>
  <c r="BL32" i="1"/>
  <c r="BK32" i="1"/>
  <c r="BG32" i="1"/>
  <c r="BD32" i="1"/>
  <c r="BC32" i="1"/>
  <c r="BA32" i="1"/>
  <c r="AZ32" i="1"/>
  <c r="BF32" i="1" s="1"/>
  <c r="AY32" i="1"/>
  <c r="BE32" i="1" s="1"/>
  <c r="AX32" i="1"/>
  <c r="AW32" i="1"/>
  <c r="AV32" i="1"/>
  <c r="BB32" i="1" s="1"/>
  <c r="AO32" i="1"/>
  <c r="AL32" i="1"/>
  <c r="AK32" i="1"/>
  <c r="AI32" i="1"/>
  <c r="AH32" i="1"/>
  <c r="AN32" i="1" s="1"/>
  <c r="AG32" i="1"/>
  <c r="AM32" i="1" s="1"/>
  <c r="AF32" i="1"/>
  <c r="AE32" i="1"/>
  <c r="AD32" i="1"/>
  <c r="AJ32" i="1" s="1"/>
  <c r="W32" i="1"/>
  <c r="V32" i="1"/>
  <c r="U32" i="1"/>
  <c r="R32" i="1"/>
  <c r="Q32" i="1"/>
  <c r="P32" i="1"/>
  <c r="M32" i="1"/>
  <c r="FE31" i="1"/>
  <c r="FD31" i="1"/>
  <c r="FB31" i="1"/>
  <c r="FA31" i="1"/>
  <c r="FA2" i="1" s="1"/>
  <c r="EZ31" i="1"/>
  <c r="EY31" i="1"/>
  <c r="EX31" i="1"/>
  <c r="EW31" i="1"/>
  <c r="EV31" i="1"/>
  <c r="DT31" i="1"/>
  <c r="FC31" i="1" s="1"/>
  <c r="DS31" i="1"/>
  <c r="DF31" i="1"/>
  <c r="DE31" i="1"/>
  <c r="DD31" i="1"/>
  <c r="DC31" i="1"/>
  <c r="DB31" i="1"/>
  <c r="DA31" i="1"/>
  <c r="DG31" i="1" s="1"/>
  <c r="ET31" i="1" s="1"/>
  <c r="CV31" i="1"/>
  <c r="CU31" i="1"/>
  <c r="CO31" i="1"/>
  <c r="CP31" i="1" s="1"/>
  <c r="CR31" i="1" s="1"/>
  <c r="CS31" i="1" s="1"/>
  <c r="CT31" i="1" s="1"/>
  <c r="CW31" i="1" s="1"/>
  <c r="CJ31" i="1"/>
  <c r="CF31" i="1"/>
  <c r="CE31" i="1"/>
  <c r="CG31" i="1" s="1"/>
  <c r="BZ31" i="1"/>
  <c r="CA31" i="1" s="1"/>
  <c r="BO31" i="1"/>
  <c r="BM31" i="1"/>
  <c r="BL31" i="1"/>
  <c r="BK31" i="1"/>
  <c r="BG31" i="1"/>
  <c r="BD31" i="1"/>
  <c r="BC31" i="1"/>
  <c r="BA31" i="1"/>
  <c r="AZ31" i="1"/>
  <c r="BF31" i="1" s="1"/>
  <c r="AY31" i="1"/>
  <c r="BE31" i="1" s="1"/>
  <c r="AX31" i="1"/>
  <c r="AW31" i="1"/>
  <c r="AV31" i="1"/>
  <c r="BB31" i="1" s="1"/>
  <c r="AO31" i="1"/>
  <c r="AL31" i="1"/>
  <c r="AK31" i="1"/>
  <c r="AI31" i="1"/>
  <c r="AH31" i="1"/>
  <c r="AN31" i="1" s="1"/>
  <c r="AG31" i="1"/>
  <c r="AM31" i="1" s="1"/>
  <c r="AF31" i="1"/>
  <c r="AE31" i="1"/>
  <c r="AD31" i="1"/>
  <c r="AJ31" i="1" s="1"/>
  <c r="BH31" i="1" s="1"/>
  <c r="W31" i="1"/>
  <c r="V31" i="1"/>
  <c r="U31" i="1"/>
  <c r="R31" i="1"/>
  <c r="Q31" i="1"/>
  <c r="P31" i="1"/>
  <c r="M31" i="1"/>
  <c r="FE30" i="1"/>
  <c r="FD30" i="1"/>
  <c r="FB30" i="1"/>
  <c r="FA30" i="1"/>
  <c r="EZ30" i="1"/>
  <c r="EY30" i="1"/>
  <c r="EX30" i="1"/>
  <c r="EW30" i="1"/>
  <c r="EV30" i="1"/>
  <c r="DT30" i="1"/>
  <c r="FC30" i="1" s="1"/>
  <c r="DS30" i="1"/>
  <c r="DF30" i="1"/>
  <c r="DE30" i="1"/>
  <c r="DD30" i="1"/>
  <c r="DC30" i="1"/>
  <c r="DB30" i="1"/>
  <c r="DA30" i="1"/>
  <c r="CV30" i="1"/>
  <c r="CU30" i="1"/>
  <c r="CO30" i="1"/>
  <c r="CP30" i="1" s="1"/>
  <c r="CR30" i="1" s="1"/>
  <c r="CS30" i="1" s="1"/>
  <c r="CT30" i="1" s="1"/>
  <c r="CW30" i="1" s="1"/>
  <c r="CJ30" i="1"/>
  <c r="CF30" i="1"/>
  <c r="CE30" i="1"/>
  <c r="CG30" i="1" s="1"/>
  <c r="CB30" i="1"/>
  <c r="BZ30" i="1"/>
  <c r="CA30" i="1" s="1"/>
  <c r="BO30" i="1"/>
  <c r="BM30" i="1"/>
  <c r="BL30" i="1"/>
  <c r="BK30" i="1"/>
  <c r="BG30" i="1"/>
  <c r="BD30" i="1"/>
  <c r="BC30" i="1"/>
  <c r="BA30" i="1"/>
  <c r="AZ30" i="1"/>
  <c r="BF30" i="1" s="1"/>
  <c r="AY30" i="1"/>
  <c r="BE30" i="1" s="1"/>
  <c r="AX30" i="1"/>
  <c r="AW30" i="1"/>
  <c r="AV30" i="1"/>
  <c r="BB30" i="1" s="1"/>
  <c r="AO30" i="1"/>
  <c r="AL30" i="1"/>
  <c r="AK30" i="1"/>
  <c r="AI30" i="1"/>
  <c r="AH30" i="1"/>
  <c r="AN30" i="1" s="1"/>
  <c r="AG30" i="1"/>
  <c r="AM30" i="1" s="1"/>
  <c r="AF30" i="1"/>
  <c r="AE30" i="1"/>
  <c r="AD30" i="1"/>
  <c r="AJ30" i="1" s="1"/>
  <c r="BH30" i="1" s="1"/>
  <c r="W30" i="1"/>
  <c r="V30" i="1"/>
  <c r="U30" i="1"/>
  <c r="R30" i="1"/>
  <c r="CK30" i="1" s="1"/>
  <c r="Q30" i="1"/>
  <c r="P30" i="1"/>
  <c r="M30" i="1"/>
  <c r="FE29" i="1"/>
  <c r="FD29" i="1"/>
  <c r="FB29" i="1"/>
  <c r="FA29" i="1"/>
  <c r="EZ29" i="1"/>
  <c r="EY29" i="1"/>
  <c r="EX29" i="1"/>
  <c r="EW29" i="1"/>
  <c r="EV29" i="1"/>
  <c r="DT29" i="1"/>
  <c r="FC29" i="1" s="1"/>
  <c r="DS29" i="1"/>
  <c r="DF29" i="1"/>
  <c r="DE29" i="1"/>
  <c r="DD29" i="1"/>
  <c r="DC29" i="1"/>
  <c r="DB29" i="1"/>
  <c r="DA29" i="1"/>
  <c r="CV29" i="1"/>
  <c r="CU29" i="1"/>
  <c r="CR29" i="1"/>
  <c r="CS29" i="1" s="1"/>
  <c r="CT29" i="1" s="1"/>
  <c r="CW29" i="1" s="1"/>
  <c r="CO29" i="1"/>
  <c r="CP29" i="1" s="1"/>
  <c r="CJ29" i="1"/>
  <c r="CF29" i="1"/>
  <c r="CE29" i="1"/>
  <c r="CG29" i="1" s="1"/>
  <c r="BZ29" i="1"/>
  <c r="CA29" i="1" s="1"/>
  <c r="BO29" i="1"/>
  <c r="CB29" i="1" s="1"/>
  <c r="BM29" i="1"/>
  <c r="BL29" i="1"/>
  <c r="BK29" i="1"/>
  <c r="BG29" i="1"/>
  <c r="BD29" i="1"/>
  <c r="BC29" i="1"/>
  <c r="BA29" i="1"/>
  <c r="AZ29" i="1"/>
  <c r="BF29" i="1" s="1"/>
  <c r="AY29" i="1"/>
  <c r="BE29" i="1" s="1"/>
  <c r="AX29" i="1"/>
  <c r="AW29" i="1"/>
  <c r="AV29" i="1"/>
  <c r="BB29" i="1" s="1"/>
  <c r="AO29" i="1"/>
  <c r="AL29" i="1"/>
  <c r="AK29" i="1"/>
  <c r="BH29" i="1" s="1"/>
  <c r="AI29" i="1"/>
  <c r="AH29" i="1"/>
  <c r="AN29" i="1" s="1"/>
  <c r="AG29" i="1"/>
  <c r="AM29" i="1" s="1"/>
  <c r="AF29" i="1"/>
  <c r="AE29" i="1"/>
  <c r="AD29" i="1"/>
  <c r="AJ29" i="1" s="1"/>
  <c r="W29" i="1"/>
  <c r="V29" i="1"/>
  <c r="U29" i="1"/>
  <c r="R29" i="1"/>
  <c r="CK29" i="1" s="1"/>
  <c r="Q29" i="1"/>
  <c r="P29" i="1"/>
  <c r="M29" i="1"/>
  <c r="FE28" i="1"/>
  <c r="FD28" i="1"/>
  <c r="FB28" i="1"/>
  <c r="FA28" i="1"/>
  <c r="EZ28" i="1"/>
  <c r="EY28" i="1"/>
  <c r="EX28" i="1"/>
  <c r="EW28" i="1"/>
  <c r="EV28" i="1"/>
  <c r="DS28" i="1"/>
  <c r="DF28" i="1"/>
  <c r="DE28" i="1"/>
  <c r="DD28" i="1"/>
  <c r="DC28" i="1"/>
  <c r="DA28" i="1"/>
  <c r="CV28" i="1"/>
  <c r="CU28" i="1"/>
  <c r="CS28" i="1"/>
  <c r="CT28" i="1" s="1"/>
  <c r="CW28" i="1" s="1"/>
  <c r="CR28" i="1"/>
  <c r="CO28" i="1"/>
  <c r="CP28" i="1" s="1"/>
  <c r="CJ28" i="1"/>
  <c r="CF28" i="1"/>
  <c r="CE28" i="1"/>
  <c r="CG28" i="1" s="1"/>
  <c r="BZ28" i="1"/>
  <c r="CA28" i="1" s="1"/>
  <c r="BO28" i="1"/>
  <c r="CB28" i="1" s="1"/>
  <c r="BL28" i="1"/>
  <c r="BK28" i="1"/>
  <c r="DB28" i="1" s="1"/>
  <c r="BD28" i="1"/>
  <c r="BA28" i="1"/>
  <c r="BG28" i="1" s="1"/>
  <c r="AZ28" i="1"/>
  <c r="BF28" i="1" s="1"/>
  <c r="AY28" i="1"/>
  <c r="BE28" i="1" s="1"/>
  <c r="AX28" i="1"/>
  <c r="AW28" i="1"/>
  <c r="BC28" i="1" s="1"/>
  <c r="AV28" i="1"/>
  <c r="BB28" i="1" s="1"/>
  <c r="AL28" i="1"/>
  <c r="AI28" i="1"/>
  <c r="AO28" i="1" s="1"/>
  <c r="AH28" i="1"/>
  <c r="AN28" i="1" s="1"/>
  <c r="AG28" i="1"/>
  <c r="AM28" i="1" s="1"/>
  <c r="AF28" i="1"/>
  <c r="AE28" i="1"/>
  <c r="AK28" i="1" s="1"/>
  <c r="AD28" i="1"/>
  <c r="AJ28" i="1" s="1"/>
  <c r="BH28" i="1" s="1"/>
  <c r="V28" i="1"/>
  <c r="U28" i="1"/>
  <c r="DT28" i="1" s="1"/>
  <c r="FC28" i="1" s="1"/>
  <c r="Q28" i="1"/>
  <c r="R28" i="1" s="1"/>
  <c r="P28" i="1"/>
  <c r="M28" i="1"/>
  <c r="FE27" i="1"/>
  <c r="FD27" i="1"/>
  <c r="FB27" i="1"/>
  <c r="FA27" i="1"/>
  <c r="EZ27" i="1"/>
  <c r="EY27" i="1"/>
  <c r="EX27" i="1"/>
  <c r="EW27" i="1"/>
  <c r="EV27" i="1"/>
  <c r="DS27" i="1"/>
  <c r="DF27" i="1"/>
  <c r="DE27" i="1"/>
  <c r="DD27" i="1"/>
  <c r="DC27" i="1"/>
  <c r="DA27" i="1"/>
  <c r="CV27" i="1"/>
  <c r="CU27" i="1"/>
  <c r="CO27" i="1"/>
  <c r="CP27" i="1" s="1"/>
  <c r="CR27" i="1" s="1"/>
  <c r="CS27" i="1" s="1"/>
  <c r="CT27" i="1" s="1"/>
  <c r="CW27" i="1" s="1"/>
  <c r="CJ27" i="1"/>
  <c r="CF27" i="1"/>
  <c r="CE27" i="1"/>
  <c r="CG27" i="1" s="1"/>
  <c r="BZ27" i="1"/>
  <c r="CA27" i="1" s="1"/>
  <c r="BO27" i="1"/>
  <c r="CB27" i="1" s="1"/>
  <c r="BL27" i="1"/>
  <c r="BK27" i="1"/>
  <c r="DB27" i="1" s="1"/>
  <c r="DG27" i="1" s="1"/>
  <c r="ET27" i="1" s="1"/>
  <c r="BD27" i="1"/>
  <c r="BA27" i="1"/>
  <c r="BG27" i="1" s="1"/>
  <c r="AZ27" i="1"/>
  <c r="BF27" i="1" s="1"/>
  <c r="AY27" i="1"/>
  <c r="BE27" i="1" s="1"/>
  <c r="AX27" i="1"/>
  <c r="AW27" i="1"/>
  <c r="BC27" i="1" s="1"/>
  <c r="AV27" i="1"/>
  <c r="BB27" i="1" s="1"/>
  <c r="AO27" i="1"/>
  <c r="AN27" i="1"/>
  <c r="AK27" i="1"/>
  <c r="AJ27" i="1"/>
  <c r="AI27" i="1"/>
  <c r="AH27" i="1"/>
  <c r="AG27" i="1"/>
  <c r="AM27" i="1" s="1"/>
  <c r="AF27" i="1"/>
  <c r="AL27" i="1" s="1"/>
  <c r="AE27" i="1"/>
  <c r="AD27" i="1"/>
  <c r="W27" i="1"/>
  <c r="V27" i="1"/>
  <c r="U27" i="1"/>
  <c r="DT27" i="1" s="1"/>
  <c r="FC27" i="1" s="1"/>
  <c r="Q27" i="1"/>
  <c r="P27" i="1"/>
  <c r="R27" i="1" s="1"/>
  <c r="M27" i="1"/>
  <c r="FE26" i="1"/>
  <c r="FD26" i="1"/>
  <c r="FB26" i="1"/>
  <c r="FA26" i="1"/>
  <c r="EZ26" i="1"/>
  <c r="EY26" i="1"/>
  <c r="EX26" i="1"/>
  <c r="EW26" i="1"/>
  <c r="EV26" i="1"/>
  <c r="DS26" i="1"/>
  <c r="DF26" i="1"/>
  <c r="DE26" i="1"/>
  <c r="DD26" i="1"/>
  <c r="DC26" i="1"/>
  <c r="DA26" i="1"/>
  <c r="DG26" i="1" s="1"/>
  <c r="ET26" i="1" s="1"/>
  <c r="CV26" i="1"/>
  <c r="CU26" i="1"/>
  <c r="CO26" i="1"/>
  <c r="CP26" i="1" s="1"/>
  <c r="CR26" i="1" s="1"/>
  <c r="CS26" i="1" s="1"/>
  <c r="CT26" i="1" s="1"/>
  <c r="CW26" i="1" s="1"/>
  <c r="CJ26" i="1"/>
  <c r="CF26" i="1"/>
  <c r="CG26" i="1" s="1"/>
  <c r="CE26" i="1"/>
  <c r="BZ26" i="1"/>
  <c r="CA26" i="1" s="1"/>
  <c r="CB26" i="1" s="1"/>
  <c r="BO26" i="1"/>
  <c r="BM26" i="1"/>
  <c r="BL26" i="1"/>
  <c r="BK26" i="1"/>
  <c r="DB26" i="1" s="1"/>
  <c r="BG26" i="1"/>
  <c r="BF26" i="1"/>
  <c r="BC26" i="1"/>
  <c r="BB26" i="1"/>
  <c r="BA26" i="1"/>
  <c r="AZ26" i="1"/>
  <c r="AY26" i="1"/>
  <c r="BE26" i="1" s="1"/>
  <c r="AX26" i="1"/>
  <c r="BD26" i="1" s="1"/>
  <c r="AW26" i="1"/>
  <c r="AV26" i="1"/>
  <c r="AO26" i="1"/>
  <c r="AN26" i="1"/>
  <c r="AK26" i="1"/>
  <c r="AJ26" i="1"/>
  <c r="AI26" i="1"/>
  <c r="AH26" i="1"/>
  <c r="AG26" i="1"/>
  <c r="AM26" i="1" s="1"/>
  <c r="AF26" i="1"/>
  <c r="AL26" i="1" s="1"/>
  <c r="AE26" i="1"/>
  <c r="AD26" i="1"/>
  <c r="W26" i="1"/>
  <c r="V26" i="1"/>
  <c r="U26" i="1"/>
  <c r="DT26" i="1" s="1"/>
  <c r="FC26" i="1" s="1"/>
  <c r="Q26" i="1"/>
  <c r="P26" i="1"/>
  <c r="R26" i="1" s="1"/>
  <c r="M26" i="1"/>
  <c r="FE25" i="1"/>
  <c r="FD25" i="1"/>
  <c r="FB25" i="1"/>
  <c r="FA25" i="1"/>
  <c r="EZ25" i="1"/>
  <c r="EY25" i="1"/>
  <c r="EX25" i="1"/>
  <c r="EW25" i="1"/>
  <c r="EV25" i="1"/>
  <c r="DS25" i="1"/>
  <c r="DF25" i="1"/>
  <c r="DE25" i="1"/>
  <c r="DD25" i="1"/>
  <c r="DC25" i="1"/>
  <c r="DA25" i="1"/>
  <c r="CV25" i="1"/>
  <c r="CU25" i="1"/>
  <c r="CO25" i="1"/>
  <c r="CP25" i="1" s="1"/>
  <c r="CR25" i="1" s="1"/>
  <c r="CS25" i="1" s="1"/>
  <c r="CT25" i="1" s="1"/>
  <c r="CW25" i="1" s="1"/>
  <c r="CJ25" i="1"/>
  <c r="CF25" i="1"/>
  <c r="CG25" i="1" s="1"/>
  <c r="CE25" i="1"/>
  <c r="BZ25" i="1"/>
  <c r="CA25" i="1" s="1"/>
  <c r="CB25" i="1" s="1"/>
  <c r="BO25" i="1"/>
  <c r="BM25" i="1"/>
  <c r="BL25" i="1"/>
  <c r="BK25" i="1"/>
  <c r="DB25" i="1" s="1"/>
  <c r="BG25" i="1"/>
  <c r="BF25" i="1"/>
  <c r="BC25" i="1"/>
  <c r="BB25" i="1"/>
  <c r="BA25" i="1"/>
  <c r="AZ25" i="1"/>
  <c r="AY25" i="1"/>
  <c r="BE25" i="1" s="1"/>
  <c r="AX25" i="1"/>
  <c r="BD25" i="1" s="1"/>
  <c r="AW25" i="1"/>
  <c r="AV25" i="1"/>
  <c r="AO25" i="1"/>
  <c r="AN25" i="1"/>
  <c r="AK25" i="1"/>
  <c r="AJ25" i="1"/>
  <c r="AI25" i="1"/>
  <c r="AH25" i="1"/>
  <c r="AG25" i="1"/>
  <c r="AM25" i="1" s="1"/>
  <c r="AF25" i="1"/>
  <c r="AL25" i="1" s="1"/>
  <c r="AE25" i="1"/>
  <c r="AD25" i="1"/>
  <c r="W25" i="1"/>
  <c r="V25" i="1"/>
  <c r="U25" i="1"/>
  <c r="DT25" i="1" s="1"/>
  <c r="FC25" i="1" s="1"/>
  <c r="Q25" i="1"/>
  <c r="P25" i="1"/>
  <c r="R25" i="1" s="1"/>
  <c r="M25" i="1"/>
  <c r="FE24" i="1"/>
  <c r="FD24" i="1"/>
  <c r="FB24" i="1"/>
  <c r="FA24" i="1"/>
  <c r="EZ24" i="1"/>
  <c r="EY24" i="1"/>
  <c r="EX24" i="1"/>
  <c r="EW24" i="1"/>
  <c r="EV24" i="1"/>
  <c r="DS24" i="1"/>
  <c r="DF24" i="1"/>
  <c r="DE24" i="1"/>
  <c r="DD24" i="1"/>
  <c r="DC24" i="1"/>
  <c r="DA24" i="1"/>
  <c r="CV24" i="1"/>
  <c r="CU24" i="1"/>
  <c r="CO24" i="1"/>
  <c r="CP24" i="1" s="1"/>
  <c r="CR24" i="1" s="1"/>
  <c r="CS24" i="1" s="1"/>
  <c r="CT24" i="1" s="1"/>
  <c r="CW24" i="1" s="1"/>
  <c r="CJ24" i="1"/>
  <c r="CF24" i="1"/>
  <c r="CG24" i="1" s="1"/>
  <c r="CE24" i="1"/>
  <c r="BZ24" i="1"/>
  <c r="CA24" i="1" s="1"/>
  <c r="CB24" i="1" s="1"/>
  <c r="BO24" i="1"/>
  <c r="BM24" i="1"/>
  <c r="BL24" i="1"/>
  <c r="BK24" i="1"/>
  <c r="DB24" i="1" s="1"/>
  <c r="BG24" i="1"/>
  <c r="BF24" i="1"/>
  <c r="BC24" i="1"/>
  <c r="BB24" i="1"/>
  <c r="BA24" i="1"/>
  <c r="AZ24" i="1"/>
  <c r="AY24" i="1"/>
  <c r="BE24" i="1" s="1"/>
  <c r="AX24" i="1"/>
  <c r="BD24" i="1" s="1"/>
  <c r="AW24" i="1"/>
  <c r="AV24" i="1"/>
  <c r="AO24" i="1"/>
  <c r="AN24" i="1"/>
  <c r="AK24" i="1"/>
  <c r="AJ24" i="1"/>
  <c r="AI24" i="1"/>
  <c r="AH24" i="1"/>
  <c r="AG24" i="1"/>
  <c r="AM24" i="1" s="1"/>
  <c r="AF24" i="1"/>
  <c r="AL24" i="1" s="1"/>
  <c r="AE24" i="1"/>
  <c r="AD24" i="1"/>
  <c r="W24" i="1"/>
  <c r="V24" i="1"/>
  <c r="U24" i="1"/>
  <c r="DT24" i="1" s="1"/>
  <c r="FC24" i="1" s="1"/>
  <c r="Q24" i="1"/>
  <c r="P24" i="1"/>
  <c r="R24" i="1" s="1"/>
  <c r="M24" i="1"/>
  <c r="FE23" i="1"/>
  <c r="FD23" i="1"/>
  <c r="FB23" i="1"/>
  <c r="FA23" i="1"/>
  <c r="EZ23" i="1"/>
  <c r="EY23" i="1"/>
  <c r="EX23" i="1"/>
  <c r="EW23" i="1"/>
  <c r="EV23" i="1"/>
  <c r="DS23" i="1"/>
  <c r="DF23" i="1"/>
  <c r="DE23" i="1"/>
  <c r="DD23" i="1"/>
  <c r="DC23" i="1"/>
  <c r="DA23" i="1"/>
  <c r="CV23" i="1"/>
  <c r="CU23" i="1"/>
  <c r="CO23" i="1"/>
  <c r="CP23" i="1" s="1"/>
  <c r="CR23" i="1" s="1"/>
  <c r="CS23" i="1" s="1"/>
  <c r="CT23" i="1" s="1"/>
  <c r="CW23" i="1" s="1"/>
  <c r="CJ23" i="1"/>
  <c r="CF23" i="1"/>
  <c r="CE23" i="1"/>
  <c r="CG23" i="1" s="1"/>
  <c r="BZ23" i="1"/>
  <c r="CA23" i="1" s="1"/>
  <c r="CB23" i="1" s="1"/>
  <c r="BO23" i="1"/>
  <c r="BM23" i="1"/>
  <c r="BL23" i="1"/>
  <c r="BK23" i="1"/>
  <c r="DB23" i="1" s="1"/>
  <c r="BG23" i="1"/>
  <c r="BC23" i="1"/>
  <c r="BA23" i="1"/>
  <c r="AZ23" i="1"/>
  <c r="BF23" i="1" s="1"/>
  <c r="AY23" i="1"/>
  <c r="BE23" i="1" s="1"/>
  <c r="AX23" i="1"/>
  <c r="BD23" i="1" s="1"/>
  <c r="AW23" i="1"/>
  <c r="AV23" i="1"/>
  <c r="BB23" i="1" s="1"/>
  <c r="AO23" i="1"/>
  <c r="AK23" i="1"/>
  <c r="AI23" i="1"/>
  <c r="AH23" i="1"/>
  <c r="AN23" i="1" s="1"/>
  <c r="AG23" i="1"/>
  <c r="AM23" i="1" s="1"/>
  <c r="AF23" i="1"/>
  <c r="AL23" i="1" s="1"/>
  <c r="AE23" i="1"/>
  <c r="AD23" i="1"/>
  <c r="AJ23" i="1" s="1"/>
  <c r="BH23" i="1" s="1"/>
  <c r="W23" i="1"/>
  <c r="V23" i="1"/>
  <c r="U23" i="1"/>
  <c r="DT23" i="1" s="1"/>
  <c r="FC23" i="1" s="1"/>
  <c r="Q23" i="1"/>
  <c r="R23" i="1" s="1"/>
  <c r="P23" i="1"/>
  <c r="M23" i="1"/>
  <c r="FE22" i="1"/>
  <c r="FD22" i="1"/>
  <c r="FB22" i="1"/>
  <c r="FA22" i="1"/>
  <c r="EZ22" i="1"/>
  <c r="EY22" i="1"/>
  <c r="EX22" i="1"/>
  <c r="EW22" i="1"/>
  <c r="EV22" i="1"/>
  <c r="DS22" i="1"/>
  <c r="DF22" i="1"/>
  <c r="DE22" i="1"/>
  <c r="DD22" i="1"/>
  <c r="DC22" i="1"/>
  <c r="DA22" i="1"/>
  <c r="CV22" i="1"/>
  <c r="CU22" i="1"/>
  <c r="CO22" i="1"/>
  <c r="CP22" i="1" s="1"/>
  <c r="CR22" i="1" s="1"/>
  <c r="CS22" i="1" s="1"/>
  <c r="CT22" i="1" s="1"/>
  <c r="CW22" i="1" s="1"/>
  <c r="CJ22" i="1"/>
  <c r="CF22" i="1"/>
  <c r="CE22" i="1"/>
  <c r="CG22" i="1" s="1"/>
  <c r="BZ22" i="1"/>
  <c r="CA22" i="1" s="1"/>
  <c r="CB22" i="1" s="1"/>
  <c r="BO22" i="1"/>
  <c r="BM22" i="1"/>
  <c r="BL22" i="1"/>
  <c r="BK22" i="1"/>
  <c r="DB22" i="1" s="1"/>
  <c r="BG22" i="1"/>
  <c r="BD22" i="1"/>
  <c r="BC22" i="1"/>
  <c r="BA22" i="1"/>
  <c r="AZ22" i="1"/>
  <c r="BF22" i="1" s="1"/>
  <c r="AY22" i="1"/>
  <c r="BE22" i="1" s="1"/>
  <c r="AX22" i="1"/>
  <c r="AW22" i="1"/>
  <c r="AV22" i="1"/>
  <c r="BB22" i="1" s="1"/>
  <c r="AO22" i="1"/>
  <c r="AL22" i="1"/>
  <c r="AK22" i="1"/>
  <c r="AI22" i="1"/>
  <c r="AH22" i="1"/>
  <c r="AN22" i="1" s="1"/>
  <c r="AG22" i="1"/>
  <c r="AM22" i="1" s="1"/>
  <c r="AF22" i="1"/>
  <c r="AE22" i="1"/>
  <c r="AD22" i="1"/>
  <c r="AJ22" i="1" s="1"/>
  <c r="W22" i="1"/>
  <c r="V22" i="1"/>
  <c r="U22" i="1"/>
  <c r="DT22" i="1" s="1"/>
  <c r="FC22" i="1" s="1"/>
  <c r="Q22" i="1"/>
  <c r="R22" i="1" s="1"/>
  <c r="P22" i="1"/>
  <c r="M22" i="1"/>
  <c r="FE21" i="1"/>
  <c r="FD21" i="1"/>
  <c r="FB21" i="1"/>
  <c r="FA21" i="1"/>
  <c r="EZ21" i="1"/>
  <c r="EY21" i="1"/>
  <c r="EX21" i="1"/>
  <c r="EW21" i="1"/>
  <c r="EV21" i="1"/>
  <c r="DS21" i="1"/>
  <c r="DF21" i="1"/>
  <c r="DE21" i="1"/>
  <c r="DD21" i="1"/>
  <c r="DC21" i="1"/>
  <c r="DA21" i="1"/>
  <c r="DG21" i="1" s="1"/>
  <c r="ET21" i="1" s="1"/>
  <c r="CV21" i="1"/>
  <c r="CU21" i="1"/>
  <c r="CO21" i="1"/>
  <c r="CP21" i="1" s="1"/>
  <c r="CR21" i="1" s="1"/>
  <c r="CS21" i="1" s="1"/>
  <c r="CT21" i="1" s="1"/>
  <c r="CW21" i="1" s="1"/>
  <c r="CJ21" i="1"/>
  <c r="CF21" i="1"/>
  <c r="CE21" i="1"/>
  <c r="CG21" i="1" s="1"/>
  <c r="BZ21" i="1"/>
  <c r="CA21" i="1" s="1"/>
  <c r="CB21" i="1" s="1"/>
  <c r="BO21" i="1"/>
  <c r="BM21" i="1"/>
  <c r="BL21" i="1"/>
  <c r="BK21" i="1"/>
  <c r="DB21" i="1" s="1"/>
  <c r="BG21" i="1"/>
  <c r="BD21" i="1"/>
  <c r="BC21" i="1"/>
  <c r="BA21" i="1"/>
  <c r="AZ21" i="1"/>
  <c r="BF21" i="1" s="1"/>
  <c r="AY21" i="1"/>
  <c r="BE21" i="1" s="1"/>
  <c r="AX21" i="1"/>
  <c r="AW21" i="1"/>
  <c r="AV21" i="1"/>
  <c r="BB21" i="1" s="1"/>
  <c r="AO21" i="1"/>
  <c r="AL21" i="1"/>
  <c r="AK21" i="1"/>
  <c r="AI21" i="1"/>
  <c r="AH21" i="1"/>
  <c r="AN21" i="1" s="1"/>
  <c r="AG21" i="1"/>
  <c r="AM21" i="1" s="1"/>
  <c r="AF21" i="1"/>
  <c r="AE21" i="1"/>
  <c r="AD21" i="1"/>
  <c r="AJ21" i="1" s="1"/>
  <c r="BH21" i="1" s="1"/>
  <c r="W21" i="1"/>
  <c r="V21" i="1"/>
  <c r="U21" i="1"/>
  <c r="DT21" i="1" s="1"/>
  <c r="FC21" i="1" s="1"/>
  <c r="Q21" i="1"/>
  <c r="R21" i="1" s="1"/>
  <c r="P21" i="1"/>
  <c r="M21" i="1"/>
  <c r="FE20" i="1"/>
  <c r="FD20" i="1"/>
  <c r="FB20" i="1"/>
  <c r="FA20" i="1"/>
  <c r="EZ20" i="1"/>
  <c r="EY20" i="1"/>
  <c r="EX20" i="1"/>
  <c r="EW20" i="1"/>
  <c r="EV20" i="1"/>
  <c r="DS20" i="1"/>
  <c r="DF20" i="1"/>
  <c r="DE20" i="1"/>
  <c r="DD20" i="1"/>
  <c r="DC20" i="1"/>
  <c r="DA20" i="1"/>
  <c r="CV20" i="1"/>
  <c r="CU20" i="1"/>
  <c r="CO20" i="1"/>
  <c r="CP20" i="1" s="1"/>
  <c r="CR20" i="1" s="1"/>
  <c r="CS20" i="1" s="1"/>
  <c r="CT20" i="1" s="1"/>
  <c r="CW20" i="1" s="1"/>
  <c r="CJ20" i="1"/>
  <c r="CF20" i="1"/>
  <c r="CE20" i="1"/>
  <c r="CG20" i="1" s="1"/>
  <c r="BZ20" i="1"/>
  <c r="CA20" i="1" s="1"/>
  <c r="CB20" i="1" s="1"/>
  <c r="BO20" i="1"/>
  <c r="BM20" i="1"/>
  <c r="BL20" i="1"/>
  <c r="BK20" i="1"/>
  <c r="DB20" i="1" s="1"/>
  <c r="BG20" i="1"/>
  <c r="BD20" i="1"/>
  <c r="BC20" i="1"/>
  <c r="BA20" i="1"/>
  <c r="AZ20" i="1"/>
  <c r="BF20" i="1" s="1"/>
  <c r="AY20" i="1"/>
  <c r="BE20" i="1" s="1"/>
  <c r="AX20" i="1"/>
  <c r="AW20" i="1"/>
  <c r="AV20" i="1"/>
  <c r="BB20" i="1" s="1"/>
  <c r="AO20" i="1"/>
  <c r="AL20" i="1"/>
  <c r="AK20" i="1"/>
  <c r="AI20" i="1"/>
  <c r="AH20" i="1"/>
  <c r="AN20" i="1" s="1"/>
  <c r="AG20" i="1"/>
  <c r="AM20" i="1" s="1"/>
  <c r="AF20" i="1"/>
  <c r="AE20" i="1"/>
  <c r="AD20" i="1"/>
  <c r="AJ20" i="1" s="1"/>
  <c r="W20" i="1"/>
  <c r="V20" i="1"/>
  <c r="U20" i="1"/>
  <c r="DT20" i="1" s="1"/>
  <c r="FC20" i="1" s="1"/>
  <c r="Q20" i="1"/>
  <c r="R20" i="1" s="1"/>
  <c r="P20" i="1"/>
  <c r="M20" i="1"/>
  <c r="FE19" i="1"/>
  <c r="FD19" i="1"/>
  <c r="FB19" i="1"/>
  <c r="FA19" i="1"/>
  <c r="EZ19" i="1"/>
  <c r="EY19" i="1"/>
  <c r="EX19" i="1"/>
  <c r="EW19" i="1"/>
  <c r="EV19" i="1"/>
  <c r="DS19" i="1"/>
  <c r="DF19" i="1"/>
  <c r="DE19" i="1"/>
  <c r="DD19" i="1"/>
  <c r="DC19" i="1"/>
  <c r="DA19" i="1"/>
  <c r="DG19" i="1" s="1"/>
  <c r="ET19" i="1" s="1"/>
  <c r="CV19" i="1"/>
  <c r="CU19" i="1"/>
  <c r="CO19" i="1"/>
  <c r="CP19" i="1" s="1"/>
  <c r="CR19" i="1" s="1"/>
  <c r="CS19" i="1" s="1"/>
  <c r="CT19" i="1" s="1"/>
  <c r="CW19" i="1" s="1"/>
  <c r="CJ19" i="1"/>
  <c r="CF19" i="1"/>
  <c r="CE19" i="1"/>
  <c r="CG19" i="1" s="1"/>
  <c r="BZ19" i="1"/>
  <c r="CA19" i="1" s="1"/>
  <c r="CB19" i="1" s="1"/>
  <c r="BO19" i="1"/>
  <c r="BM19" i="1"/>
  <c r="BL19" i="1"/>
  <c r="BK19" i="1"/>
  <c r="DB19" i="1" s="1"/>
  <c r="BG19" i="1"/>
  <c r="BD19" i="1"/>
  <c r="BC19" i="1"/>
  <c r="BA19" i="1"/>
  <c r="AZ19" i="1"/>
  <c r="BF19" i="1" s="1"/>
  <c r="AY19" i="1"/>
  <c r="BE19" i="1" s="1"/>
  <c r="AX19" i="1"/>
  <c r="AW19" i="1"/>
  <c r="AV19" i="1"/>
  <c r="BB19" i="1" s="1"/>
  <c r="AO19" i="1"/>
  <c r="AL19" i="1"/>
  <c r="AK19" i="1"/>
  <c r="AI19" i="1"/>
  <c r="AH19" i="1"/>
  <c r="AN19" i="1" s="1"/>
  <c r="AG19" i="1"/>
  <c r="AM19" i="1" s="1"/>
  <c r="AF19" i="1"/>
  <c r="AE19" i="1"/>
  <c r="AD19" i="1"/>
  <c r="AJ19" i="1" s="1"/>
  <c r="BH19" i="1" s="1"/>
  <c r="W19" i="1"/>
  <c r="V19" i="1"/>
  <c r="U19" i="1"/>
  <c r="DT19" i="1" s="1"/>
  <c r="FC19" i="1" s="1"/>
  <c r="Q19" i="1"/>
  <c r="R19" i="1" s="1"/>
  <c r="P19" i="1"/>
  <c r="M19" i="1"/>
  <c r="FE18" i="1"/>
  <c r="FD18" i="1"/>
  <c r="FB18" i="1"/>
  <c r="FA18" i="1"/>
  <c r="EZ18" i="1"/>
  <c r="EY18" i="1"/>
  <c r="EX18" i="1"/>
  <c r="EW18" i="1"/>
  <c r="EV18" i="1"/>
  <c r="DS18" i="1"/>
  <c r="DF18" i="1"/>
  <c r="DE18" i="1"/>
  <c r="DD18" i="1"/>
  <c r="DC18" i="1"/>
  <c r="DA18" i="1"/>
  <c r="CV18" i="1"/>
  <c r="CU18" i="1"/>
  <c r="CO18" i="1"/>
  <c r="CP18" i="1" s="1"/>
  <c r="CR18" i="1" s="1"/>
  <c r="CS18" i="1" s="1"/>
  <c r="CT18" i="1" s="1"/>
  <c r="CW18" i="1" s="1"/>
  <c r="CJ18" i="1"/>
  <c r="CF18" i="1"/>
  <c r="CE18" i="1"/>
  <c r="CG18" i="1" s="1"/>
  <c r="BZ18" i="1"/>
  <c r="CA18" i="1" s="1"/>
  <c r="CB18" i="1" s="1"/>
  <c r="BO18" i="1"/>
  <c r="BM18" i="1"/>
  <c r="BL18" i="1"/>
  <c r="BK18" i="1"/>
  <c r="DB18" i="1" s="1"/>
  <c r="BG18" i="1"/>
  <c r="BD18" i="1"/>
  <c r="BC18" i="1"/>
  <c r="BA18" i="1"/>
  <c r="AZ18" i="1"/>
  <c r="BF18" i="1" s="1"/>
  <c r="AY18" i="1"/>
  <c r="BE18" i="1" s="1"/>
  <c r="AX18" i="1"/>
  <c r="AW18" i="1"/>
  <c r="AV18" i="1"/>
  <c r="BB18" i="1" s="1"/>
  <c r="AO18" i="1"/>
  <c r="AL18" i="1"/>
  <c r="AK18" i="1"/>
  <c r="AI18" i="1"/>
  <c r="AH18" i="1"/>
  <c r="AN18" i="1" s="1"/>
  <c r="AG18" i="1"/>
  <c r="AM18" i="1" s="1"/>
  <c r="AF18" i="1"/>
  <c r="AE18" i="1"/>
  <c r="AD18" i="1"/>
  <c r="AJ18" i="1" s="1"/>
  <c r="W18" i="1"/>
  <c r="V18" i="1"/>
  <c r="U18" i="1"/>
  <c r="DT18" i="1" s="1"/>
  <c r="FC18" i="1" s="1"/>
  <c r="Q18" i="1"/>
  <c r="R18" i="1" s="1"/>
  <c r="P18" i="1"/>
  <c r="M18" i="1"/>
  <c r="FE17" i="1"/>
  <c r="FD17" i="1"/>
  <c r="FB17" i="1"/>
  <c r="FA17" i="1"/>
  <c r="EZ17" i="1"/>
  <c r="EY17" i="1"/>
  <c r="EX17" i="1"/>
  <c r="EW17" i="1"/>
  <c r="EV17" i="1"/>
  <c r="DS17" i="1"/>
  <c r="DF17" i="1"/>
  <c r="DE17" i="1"/>
  <c r="DD17" i="1"/>
  <c r="DC17" i="1"/>
  <c r="DA17" i="1"/>
  <c r="CV17" i="1"/>
  <c r="CU17" i="1"/>
  <c r="CO17" i="1"/>
  <c r="CP17" i="1" s="1"/>
  <c r="CR17" i="1" s="1"/>
  <c r="CS17" i="1" s="1"/>
  <c r="CT17" i="1" s="1"/>
  <c r="CW17" i="1" s="1"/>
  <c r="CJ17" i="1"/>
  <c r="CF17" i="1"/>
  <c r="CE17" i="1"/>
  <c r="CG17" i="1" s="1"/>
  <c r="BZ17" i="1"/>
  <c r="CA17" i="1" s="1"/>
  <c r="CB17" i="1" s="1"/>
  <c r="BO17" i="1"/>
  <c r="BM17" i="1"/>
  <c r="BL17" i="1"/>
  <c r="BK17" i="1"/>
  <c r="DB17" i="1" s="1"/>
  <c r="BG17" i="1"/>
  <c r="BD17" i="1"/>
  <c r="BC17" i="1"/>
  <c r="BA17" i="1"/>
  <c r="AZ17" i="1"/>
  <c r="BF17" i="1" s="1"/>
  <c r="AY17" i="1"/>
  <c r="BE17" i="1" s="1"/>
  <c r="AX17" i="1"/>
  <c r="AW17" i="1"/>
  <c r="AV17" i="1"/>
  <c r="BB17" i="1" s="1"/>
  <c r="AO17" i="1"/>
  <c r="AL17" i="1"/>
  <c r="AK17" i="1"/>
  <c r="AI17" i="1"/>
  <c r="AH17" i="1"/>
  <c r="AN17" i="1" s="1"/>
  <c r="AG17" i="1"/>
  <c r="AM17" i="1" s="1"/>
  <c r="AF17" i="1"/>
  <c r="AE17" i="1"/>
  <c r="AD17" i="1"/>
  <c r="AJ17" i="1" s="1"/>
  <c r="W17" i="1"/>
  <c r="V17" i="1"/>
  <c r="U17" i="1"/>
  <c r="DT17" i="1" s="1"/>
  <c r="FC17" i="1" s="1"/>
  <c r="Q17" i="1"/>
  <c r="R17" i="1" s="1"/>
  <c r="P17" i="1"/>
  <c r="M17" i="1"/>
  <c r="FE16" i="1"/>
  <c r="FD16" i="1"/>
  <c r="FB16" i="1"/>
  <c r="FA16" i="1"/>
  <c r="EZ16" i="1"/>
  <c r="EY16" i="1"/>
  <c r="EX16" i="1"/>
  <c r="EW16" i="1"/>
  <c r="EV16" i="1"/>
  <c r="DS16" i="1"/>
  <c r="DF16" i="1"/>
  <c r="DE16" i="1"/>
  <c r="DD16" i="1"/>
  <c r="DC16" i="1"/>
  <c r="DA16" i="1"/>
  <c r="CV16" i="1"/>
  <c r="CU16" i="1"/>
  <c r="CO16" i="1"/>
  <c r="CP16" i="1" s="1"/>
  <c r="CR16" i="1" s="1"/>
  <c r="CS16" i="1" s="1"/>
  <c r="CT16" i="1" s="1"/>
  <c r="CW16" i="1" s="1"/>
  <c r="CJ16" i="1"/>
  <c r="CF16" i="1"/>
  <c r="CE16" i="1"/>
  <c r="CG16" i="1" s="1"/>
  <c r="BZ16" i="1"/>
  <c r="CA16" i="1" s="1"/>
  <c r="CB16" i="1" s="1"/>
  <c r="BO16" i="1"/>
  <c r="BM16" i="1"/>
  <c r="BL16" i="1"/>
  <c r="BK16" i="1"/>
  <c r="DB16" i="1" s="1"/>
  <c r="BG16" i="1"/>
  <c r="BD16" i="1"/>
  <c r="BC16" i="1"/>
  <c r="BA16" i="1"/>
  <c r="AZ16" i="1"/>
  <c r="BF16" i="1" s="1"/>
  <c r="AY16" i="1"/>
  <c r="BE16" i="1" s="1"/>
  <c r="AX16" i="1"/>
  <c r="AW16" i="1"/>
  <c r="AV16" i="1"/>
  <c r="BB16" i="1" s="1"/>
  <c r="AO16" i="1"/>
  <c r="AL16" i="1"/>
  <c r="AK16" i="1"/>
  <c r="AI16" i="1"/>
  <c r="AH16" i="1"/>
  <c r="AN16" i="1" s="1"/>
  <c r="AG16" i="1"/>
  <c r="AM16" i="1" s="1"/>
  <c r="AF16" i="1"/>
  <c r="AE16" i="1"/>
  <c r="AD16" i="1"/>
  <c r="AJ16" i="1" s="1"/>
  <c r="W16" i="1"/>
  <c r="V16" i="1"/>
  <c r="U16" i="1"/>
  <c r="DT16" i="1" s="1"/>
  <c r="FC16" i="1" s="1"/>
  <c r="Q16" i="1"/>
  <c r="R16" i="1" s="1"/>
  <c r="P16" i="1"/>
  <c r="M16" i="1"/>
  <c r="FE15" i="1"/>
  <c r="FD15" i="1"/>
  <c r="FB15" i="1"/>
  <c r="FA15" i="1"/>
  <c r="EZ15" i="1"/>
  <c r="EY15" i="1"/>
  <c r="EX15" i="1"/>
  <c r="EW15" i="1"/>
  <c r="EV15" i="1"/>
  <c r="DS15" i="1"/>
  <c r="DF15" i="1"/>
  <c r="DE15" i="1"/>
  <c r="DD15" i="1"/>
  <c r="DC15" i="1"/>
  <c r="DA15" i="1"/>
  <c r="DG15" i="1" s="1"/>
  <c r="ET15" i="1" s="1"/>
  <c r="CV15" i="1"/>
  <c r="CU15" i="1"/>
  <c r="CO15" i="1"/>
  <c r="CP15" i="1" s="1"/>
  <c r="CR15" i="1" s="1"/>
  <c r="CS15" i="1" s="1"/>
  <c r="CT15" i="1" s="1"/>
  <c r="CW15" i="1" s="1"/>
  <c r="CJ15" i="1"/>
  <c r="CF15" i="1"/>
  <c r="CE15" i="1"/>
  <c r="CG15" i="1" s="1"/>
  <c r="CB15" i="1"/>
  <c r="BZ15" i="1"/>
  <c r="CA15" i="1" s="1"/>
  <c r="BO15" i="1"/>
  <c r="BM15" i="1"/>
  <c r="BL15" i="1"/>
  <c r="BK15" i="1"/>
  <c r="DB15" i="1" s="1"/>
  <c r="BE15" i="1"/>
  <c r="BD15" i="1"/>
  <c r="BA15" i="1"/>
  <c r="BG15" i="1" s="1"/>
  <c r="AZ15" i="1"/>
  <c r="BF15" i="1" s="1"/>
  <c r="AY15" i="1"/>
  <c r="AX15" i="1"/>
  <c r="AW15" i="1"/>
  <c r="BC15" i="1" s="1"/>
  <c r="AV15" i="1"/>
  <c r="BB15" i="1" s="1"/>
  <c r="AL15" i="1"/>
  <c r="AK15" i="1"/>
  <c r="AI15" i="1"/>
  <c r="AO15" i="1" s="1"/>
  <c r="AH15" i="1"/>
  <c r="AN15" i="1" s="1"/>
  <c r="AG15" i="1"/>
  <c r="AM15" i="1" s="1"/>
  <c r="AF15" i="1"/>
  <c r="AE15" i="1"/>
  <c r="AD15" i="1"/>
  <c r="AJ15" i="1" s="1"/>
  <c r="W15" i="1"/>
  <c r="V15" i="1"/>
  <c r="U15" i="1"/>
  <c r="DT15" i="1" s="1"/>
  <c r="FC15" i="1" s="1"/>
  <c r="Q15" i="1"/>
  <c r="R15" i="1" s="1"/>
  <c r="P15" i="1"/>
  <c r="M15" i="1"/>
  <c r="FE14" i="1"/>
  <c r="FD14" i="1"/>
  <c r="FB14" i="1"/>
  <c r="FA14" i="1"/>
  <c r="EZ14" i="1"/>
  <c r="EY14" i="1"/>
  <c r="EX14" i="1"/>
  <c r="EW14" i="1"/>
  <c r="EV14" i="1"/>
  <c r="DS14" i="1"/>
  <c r="DF14" i="1"/>
  <c r="DE14" i="1"/>
  <c r="DD14" i="1"/>
  <c r="DC14" i="1"/>
  <c r="DA14" i="1"/>
  <c r="DG14" i="1" s="1"/>
  <c r="ET14" i="1" s="1"/>
  <c r="CV14" i="1"/>
  <c r="CU14" i="1"/>
  <c r="CO14" i="1"/>
  <c r="CP14" i="1" s="1"/>
  <c r="CR14" i="1" s="1"/>
  <c r="CS14" i="1" s="1"/>
  <c r="CT14" i="1" s="1"/>
  <c r="CW14" i="1" s="1"/>
  <c r="CJ14" i="1"/>
  <c r="CF14" i="1"/>
  <c r="CE14" i="1"/>
  <c r="CG14" i="1" s="1"/>
  <c r="CB14" i="1"/>
  <c r="BZ14" i="1"/>
  <c r="CA14" i="1" s="1"/>
  <c r="BO14" i="1"/>
  <c r="BL14" i="1"/>
  <c r="BK14" i="1"/>
  <c r="DB14" i="1" s="1"/>
  <c r="BE14" i="1"/>
  <c r="BD14" i="1"/>
  <c r="BA14" i="1"/>
  <c r="BG14" i="1" s="1"/>
  <c r="AZ14" i="1"/>
  <c r="BF14" i="1" s="1"/>
  <c r="AY14" i="1"/>
  <c r="AX14" i="1"/>
  <c r="AW14" i="1"/>
  <c r="BC14" i="1" s="1"/>
  <c r="AV14" i="1"/>
  <c r="BB14" i="1" s="1"/>
  <c r="AL14" i="1"/>
  <c r="AK14" i="1"/>
  <c r="AI14" i="1"/>
  <c r="AO14" i="1" s="1"/>
  <c r="AH14" i="1"/>
  <c r="AN14" i="1" s="1"/>
  <c r="AG14" i="1"/>
  <c r="AM14" i="1" s="1"/>
  <c r="AF14" i="1"/>
  <c r="AE14" i="1"/>
  <c r="AD14" i="1"/>
  <c r="AJ14" i="1" s="1"/>
  <c r="V14" i="1"/>
  <c r="U14" i="1"/>
  <c r="DT14" i="1" s="1"/>
  <c r="FC14" i="1" s="1"/>
  <c r="Q14" i="1"/>
  <c r="R14" i="1" s="1"/>
  <c r="P14" i="1"/>
  <c r="M14" i="1"/>
  <c r="FE13" i="1"/>
  <c r="FD13" i="1"/>
  <c r="FB13" i="1"/>
  <c r="FA13" i="1"/>
  <c r="EZ13" i="1"/>
  <c r="EY13" i="1"/>
  <c r="EX13" i="1"/>
  <c r="EX2" i="1" s="1"/>
  <c r="EW13" i="1"/>
  <c r="EV13" i="1"/>
  <c r="DS13" i="1"/>
  <c r="DF13" i="1"/>
  <c r="DE13" i="1"/>
  <c r="DD13" i="1"/>
  <c r="DC13" i="1"/>
  <c r="DB13" i="1"/>
  <c r="DA13" i="1"/>
  <c r="DG13" i="1" s="1"/>
  <c r="ET13" i="1" s="1"/>
  <c r="CV13" i="1"/>
  <c r="CU13" i="1"/>
  <c r="CO13" i="1"/>
  <c r="CP13" i="1" s="1"/>
  <c r="CR13" i="1" s="1"/>
  <c r="CS13" i="1" s="1"/>
  <c r="CT13" i="1" s="1"/>
  <c r="CW13" i="1" s="1"/>
  <c r="CJ13" i="1"/>
  <c r="CF13" i="1"/>
  <c r="CE13" i="1"/>
  <c r="CG13" i="1" s="1"/>
  <c r="BZ13" i="1"/>
  <c r="CA13" i="1" s="1"/>
  <c r="BO13" i="1"/>
  <c r="CB13" i="1" s="1"/>
  <c r="BM13" i="1"/>
  <c r="BL13" i="1"/>
  <c r="BK13" i="1"/>
  <c r="BG13" i="1"/>
  <c r="BD13" i="1"/>
  <c r="BC13" i="1"/>
  <c r="BA13" i="1"/>
  <c r="AZ13" i="1"/>
  <c r="BF13" i="1" s="1"/>
  <c r="AY13" i="1"/>
  <c r="BE13" i="1" s="1"/>
  <c r="AX13" i="1"/>
  <c r="AW13" i="1"/>
  <c r="AV13" i="1"/>
  <c r="BB13" i="1" s="1"/>
  <c r="AO13" i="1"/>
  <c r="AL13" i="1"/>
  <c r="AK13" i="1"/>
  <c r="AI13" i="1"/>
  <c r="AH13" i="1"/>
  <c r="AN13" i="1" s="1"/>
  <c r="AG13" i="1"/>
  <c r="AM13" i="1" s="1"/>
  <c r="AF13" i="1"/>
  <c r="AE13" i="1"/>
  <c r="AD13" i="1"/>
  <c r="AJ13" i="1" s="1"/>
  <c r="W13" i="1"/>
  <c r="V13" i="1"/>
  <c r="U13" i="1"/>
  <c r="DT13" i="1" s="1"/>
  <c r="FC13" i="1" s="1"/>
  <c r="R13" i="1"/>
  <c r="Q13" i="1"/>
  <c r="P13" i="1"/>
  <c r="M13" i="1"/>
  <c r="FE12" i="1"/>
  <c r="FD12" i="1"/>
  <c r="FB12" i="1"/>
  <c r="FA12" i="1"/>
  <c r="EZ12" i="1"/>
  <c r="EY12" i="1"/>
  <c r="EX12" i="1"/>
  <c r="EW12" i="1"/>
  <c r="EV12" i="1"/>
  <c r="DS12" i="1"/>
  <c r="DF12" i="1"/>
  <c r="DE12" i="1"/>
  <c r="DD12" i="1"/>
  <c r="DC12" i="1"/>
  <c r="DB12" i="1"/>
  <c r="DA12" i="1"/>
  <c r="DG12" i="1" s="1"/>
  <c r="ET12" i="1" s="1"/>
  <c r="CV12" i="1"/>
  <c r="CU12" i="1"/>
  <c r="CO12" i="1"/>
  <c r="CP12" i="1" s="1"/>
  <c r="CR12" i="1" s="1"/>
  <c r="CS12" i="1" s="1"/>
  <c r="CT12" i="1" s="1"/>
  <c r="CW12" i="1" s="1"/>
  <c r="CJ12" i="1"/>
  <c r="CF12" i="1"/>
  <c r="CE12" i="1"/>
  <c r="CG12" i="1" s="1"/>
  <c r="BZ12" i="1"/>
  <c r="CA12" i="1" s="1"/>
  <c r="BO12" i="1"/>
  <c r="CB12" i="1" s="1"/>
  <c r="BL12" i="1"/>
  <c r="BK12" i="1"/>
  <c r="BM12" i="1" s="1"/>
  <c r="BD12" i="1"/>
  <c r="BA12" i="1"/>
  <c r="BG12" i="1" s="1"/>
  <c r="AZ12" i="1"/>
  <c r="BF12" i="1" s="1"/>
  <c r="AY12" i="1"/>
  <c r="BE12" i="1" s="1"/>
  <c r="AX12" i="1"/>
  <c r="AW12" i="1"/>
  <c r="BC12" i="1" s="1"/>
  <c r="AV12" i="1"/>
  <c r="BB12" i="1" s="1"/>
  <c r="AL12" i="1"/>
  <c r="AI12" i="1"/>
  <c r="AO12" i="1" s="1"/>
  <c r="AH12" i="1"/>
  <c r="AN12" i="1" s="1"/>
  <c r="AG12" i="1"/>
  <c r="AM12" i="1" s="1"/>
  <c r="AF12" i="1"/>
  <c r="AE12" i="1"/>
  <c r="AK12" i="1" s="1"/>
  <c r="AD12" i="1"/>
  <c r="AJ12" i="1" s="1"/>
  <c r="BH12" i="1" s="1"/>
  <c r="V12" i="1"/>
  <c r="U12" i="1"/>
  <c r="DT12" i="1" s="1"/>
  <c r="FC12" i="1" s="1"/>
  <c r="R12" i="1"/>
  <c r="Q12" i="1"/>
  <c r="P12" i="1"/>
  <c r="M12" i="1"/>
  <c r="FE11" i="1"/>
  <c r="FD11" i="1"/>
  <c r="FB11" i="1"/>
  <c r="FA11" i="1"/>
  <c r="EZ11" i="1"/>
  <c r="EY11" i="1"/>
  <c r="EX11" i="1"/>
  <c r="EW11" i="1"/>
  <c r="EV11" i="1"/>
  <c r="DS11" i="1"/>
  <c r="DF11" i="1"/>
  <c r="DE11" i="1"/>
  <c r="DD11" i="1"/>
  <c r="DC11" i="1"/>
  <c r="DA11" i="1"/>
  <c r="DG11" i="1" s="1"/>
  <c r="ET11" i="1" s="1"/>
  <c r="CV11" i="1"/>
  <c r="CU11" i="1"/>
  <c r="CO11" i="1"/>
  <c r="CP11" i="1" s="1"/>
  <c r="CR11" i="1" s="1"/>
  <c r="CS11" i="1" s="1"/>
  <c r="CT11" i="1" s="1"/>
  <c r="CW11" i="1" s="1"/>
  <c r="CJ11" i="1"/>
  <c r="CF11" i="1"/>
  <c r="CE11" i="1"/>
  <c r="CG11" i="1" s="1"/>
  <c r="BZ11" i="1"/>
  <c r="CA11" i="1" s="1"/>
  <c r="BO11" i="1"/>
  <c r="BL11" i="1"/>
  <c r="BK11" i="1"/>
  <c r="DB11" i="1" s="1"/>
  <c r="BE11" i="1"/>
  <c r="BD11" i="1"/>
  <c r="BA11" i="1"/>
  <c r="BG11" i="1" s="1"/>
  <c r="AZ11" i="1"/>
  <c r="BF11" i="1" s="1"/>
  <c r="AY11" i="1"/>
  <c r="AX11" i="1"/>
  <c r="AW11" i="1"/>
  <c r="BC11" i="1" s="1"/>
  <c r="AV11" i="1"/>
  <c r="BB11" i="1" s="1"/>
  <c r="AM11" i="1"/>
  <c r="AL11" i="1"/>
  <c r="AI11" i="1"/>
  <c r="AO11" i="1" s="1"/>
  <c r="AH11" i="1"/>
  <c r="AN11" i="1" s="1"/>
  <c r="AG11" i="1"/>
  <c r="AF11" i="1"/>
  <c r="AE11" i="1"/>
  <c r="AK11" i="1" s="1"/>
  <c r="AD11" i="1"/>
  <c r="AJ11" i="1" s="1"/>
  <c r="V11" i="1"/>
  <c r="U11" i="1"/>
  <c r="DT11" i="1" s="1"/>
  <c r="FC11" i="1" s="1"/>
  <c r="R11" i="1"/>
  <c r="Q11" i="1"/>
  <c r="P11" i="1"/>
  <c r="M11" i="1"/>
  <c r="FE10" i="1"/>
  <c r="FD10" i="1"/>
  <c r="FD2" i="1" s="1"/>
  <c r="FB10" i="1"/>
  <c r="FA10" i="1"/>
  <c r="EZ10" i="1"/>
  <c r="EY10" i="1"/>
  <c r="EY2" i="1" s="1"/>
  <c r="EX10" i="1"/>
  <c r="EW10" i="1"/>
  <c r="EV10" i="1"/>
  <c r="DS10" i="1"/>
  <c r="DF10" i="1"/>
  <c r="DE10" i="1"/>
  <c r="DD10" i="1"/>
  <c r="DC10" i="1"/>
  <c r="DA10" i="1"/>
  <c r="CV10" i="1"/>
  <c r="CU10" i="1"/>
  <c r="CO10" i="1"/>
  <c r="CP10" i="1" s="1"/>
  <c r="CR10" i="1" s="1"/>
  <c r="CS10" i="1" s="1"/>
  <c r="CT10" i="1" s="1"/>
  <c r="CW10" i="1" s="1"/>
  <c r="CJ10" i="1"/>
  <c r="CF10" i="1"/>
  <c r="CE10" i="1"/>
  <c r="CG10" i="1" s="1"/>
  <c r="BZ10" i="1"/>
  <c r="CA10" i="1" s="1"/>
  <c r="BO10" i="1"/>
  <c r="CB10" i="1" s="1"/>
  <c r="BL10" i="1"/>
  <c r="BK10" i="1"/>
  <c r="DB10" i="1" s="1"/>
  <c r="DG10" i="1" s="1"/>
  <c r="ET10" i="1" s="1"/>
  <c r="BE10" i="1"/>
  <c r="BD10" i="1"/>
  <c r="BA10" i="1"/>
  <c r="BG10" i="1" s="1"/>
  <c r="AZ10" i="1"/>
  <c r="BF10" i="1" s="1"/>
  <c r="AY10" i="1"/>
  <c r="AX10" i="1"/>
  <c r="AW10" i="1"/>
  <c r="BC10" i="1" s="1"/>
  <c r="AV10" i="1"/>
  <c r="BB10" i="1" s="1"/>
  <c r="AM10" i="1"/>
  <c r="AL10" i="1"/>
  <c r="AI10" i="1"/>
  <c r="AO10" i="1" s="1"/>
  <c r="AH10" i="1"/>
  <c r="AN10" i="1" s="1"/>
  <c r="AG10" i="1"/>
  <c r="AF10" i="1"/>
  <c r="AE10" i="1"/>
  <c r="AK10" i="1" s="1"/>
  <c r="AD10" i="1"/>
  <c r="AJ10" i="1" s="1"/>
  <c r="BH10" i="1" s="1"/>
  <c r="V10" i="1"/>
  <c r="U10" i="1"/>
  <c r="DT10" i="1" s="1"/>
  <c r="FC10" i="1" s="1"/>
  <c r="R10" i="1"/>
  <c r="Q10" i="1"/>
  <c r="P10" i="1"/>
  <c r="M10" i="1"/>
  <c r="FE9" i="1"/>
  <c r="FD9" i="1"/>
  <c r="FB9" i="1"/>
  <c r="FA9" i="1"/>
  <c r="EZ9" i="1"/>
  <c r="EY9" i="1"/>
  <c r="EX9" i="1"/>
  <c r="EW9" i="1"/>
  <c r="EV9" i="1"/>
  <c r="DS9" i="1"/>
  <c r="DF9" i="1"/>
  <c r="DE9" i="1"/>
  <c r="DD9" i="1"/>
  <c r="DC9" i="1"/>
  <c r="DA9" i="1"/>
  <c r="CV9" i="1"/>
  <c r="CU9" i="1"/>
  <c r="CO9" i="1"/>
  <c r="CP9" i="1" s="1"/>
  <c r="CR9" i="1" s="1"/>
  <c r="CS9" i="1" s="1"/>
  <c r="CT9" i="1" s="1"/>
  <c r="CW9" i="1" s="1"/>
  <c r="CJ9" i="1"/>
  <c r="CF9" i="1"/>
  <c r="CE9" i="1"/>
  <c r="CG9" i="1" s="1"/>
  <c r="BZ9" i="1"/>
  <c r="CA9" i="1" s="1"/>
  <c r="BO9" i="1"/>
  <c r="BL9" i="1"/>
  <c r="BK9" i="1"/>
  <c r="DB9" i="1" s="1"/>
  <c r="DG9" i="1" s="1"/>
  <c r="ET9" i="1" s="1"/>
  <c r="BE9" i="1"/>
  <c r="BD9" i="1"/>
  <c r="BA9" i="1"/>
  <c r="BG9" i="1" s="1"/>
  <c r="AZ9" i="1"/>
  <c r="BF9" i="1" s="1"/>
  <c r="AY9" i="1"/>
  <c r="AX9" i="1"/>
  <c r="AW9" i="1"/>
  <c r="BC9" i="1" s="1"/>
  <c r="AV9" i="1"/>
  <c r="BB9" i="1" s="1"/>
  <c r="AM9" i="1"/>
  <c r="AL9" i="1"/>
  <c r="AI9" i="1"/>
  <c r="AO9" i="1" s="1"/>
  <c r="AO1" i="1" s="1"/>
  <c r="AH9" i="1"/>
  <c r="AN9" i="1" s="1"/>
  <c r="AG9" i="1"/>
  <c r="AF9" i="1"/>
  <c r="AE9" i="1"/>
  <c r="AK9" i="1" s="1"/>
  <c r="AK1" i="1" s="1"/>
  <c r="AD9" i="1"/>
  <c r="AJ9" i="1" s="1"/>
  <c r="V9" i="1"/>
  <c r="U9" i="1"/>
  <c r="DT9" i="1" s="1"/>
  <c r="FC9" i="1" s="1"/>
  <c r="R9" i="1"/>
  <c r="Q9" i="1"/>
  <c r="P9" i="1"/>
  <c r="M9" i="1"/>
  <c r="FE8" i="1"/>
  <c r="FD8" i="1"/>
  <c r="FB8" i="1"/>
  <c r="FA8" i="1"/>
  <c r="EZ8" i="1"/>
  <c r="EY8" i="1"/>
  <c r="EX8" i="1"/>
  <c r="EW8" i="1"/>
  <c r="EV8" i="1"/>
  <c r="DS8" i="1"/>
  <c r="DF8" i="1"/>
  <c r="DE8" i="1"/>
  <c r="DD8" i="1"/>
  <c r="DC8" i="1"/>
  <c r="DA8" i="1"/>
  <c r="CV8" i="1"/>
  <c r="CU8" i="1"/>
  <c r="CO8" i="1"/>
  <c r="CP8" i="1" s="1"/>
  <c r="CR8" i="1" s="1"/>
  <c r="CS8" i="1" s="1"/>
  <c r="CT8" i="1" s="1"/>
  <c r="CW8" i="1" s="1"/>
  <c r="CJ8" i="1"/>
  <c r="CF8" i="1"/>
  <c r="CE8" i="1"/>
  <c r="CG8" i="1" s="1"/>
  <c r="BZ8" i="1"/>
  <c r="CA8" i="1" s="1"/>
  <c r="BO8" i="1"/>
  <c r="BL8" i="1"/>
  <c r="BK8" i="1"/>
  <c r="DB8" i="1" s="1"/>
  <c r="BD8" i="1"/>
  <c r="BA8" i="1"/>
  <c r="BG8" i="1" s="1"/>
  <c r="AZ8" i="1"/>
  <c r="BF8" i="1" s="1"/>
  <c r="AY8" i="1"/>
  <c r="BE8" i="1" s="1"/>
  <c r="AX8" i="1"/>
  <c r="AW8" i="1"/>
  <c r="BC8" i="1" s="1"/>
  <c r="AV8" i="1"/>
  <c r="BB8" i="1" s="1"/>
  <c r="AO8" i="1"/>
  <c r="AL8" i="1"/>
  <c r="AK8" i="1"/>
  <c r="AI8" i="1"/>
  <c r="AH8" i="1"/>
  <c r="AN8" i="1" s="1"/>
  <c r="AG8" i="1"/>
  <c r="AM8" i="1" s="1"/>
  <c r="AF8" i="1"/>
  <c r="AE8" i="1"/>
  <c r="AD8" i="1"/>
  <c r="AJ8" i="1" s="1"/>
  <c r="BH8" i="1" s="1"/>
  <c r="W8" i="1"/>
  <c r="V8" i="1"/>
  <c r="U8" i="1"/>
  <c r="DT8" i="1" s="1"/>
  <c r="FC8" i="1" s="1"/>
  <c r="Q8" i="1"/>
  <c r="R8" i="1" s="1"/>
  <c r="P8" i="1"/>
  <c r="M8" i="1"/>
  <c r="FE7" i="1"/>
  <c r="FD7" i="1"/>
  <c r="FB7" i="1"/>
  <c r="FA7" i="1"/>
  <c r="EZ7" i="1"/>
  <c r="EY7" i="1"/>
  <c r="EX7" i="1"/>
  <c r="EW7" i="1"/>
  <c r="EV7" i="1"/>
  <c r="EV2" i="1" s="1"/>
  <c r="DS7" i="1"/>
  <c r="DF7" i="1"/>
  <c r="DE7" i="1"/>
  <c r="DD7" i="1"/>
  <c r="DC7" i="1"/>
  <c r="DA7" i="1"/>
  <c r="CV7" i="1"/>
  <c r="CU7" i="1"/>
  <c r="CO7" i="1"/>
  <c r="CP7" i="1" s="1"/>
  <c r="CJ7" i="1"/>
  <c r="CF7" i="1"/>
  <c r="CE7" i="1"/>
  <c r="CG7" i="1" s="1"/>
  <c r="BZ7" i="1"/>
  <c r="CA7" i="1" s="1"/>
  <c r="BO7" i="1"/>
  <c r="BM7" i="1"/>
  <c r="BL7" i="1"/>
  <c r="BK7" i="1"/>
  <c r="DB7" i="1" s="1"/>
  <c r="BG7" i="1"/>
  <c r="BD7" i="1"/>
  <c r="BC7" i="1"/>
  <c r="BA7" i="1"/>
  <c r="AZ7" i="1"/>
  <c r="BF7" i="1" s="1"/>
  <c r="BF1" i="1" s="1"/>
  <c r="AY7" i="1"/>
  <c r="BE7" i="1" s="1"/>
  <c r="AX7" i="1"/>
  <c r="AW7" i="1"/>
  <c r="AV7" i="1"/>
  <c r="BB7" i="1" s="1"/>
  <c r="BB1" i="1" s="1"/>
  <c r="AO7" i="1"/>
  <c r="AL7" i="1"/>
  <c r="AK7" i="1"/>
  <c r="AI7" i="1"/>
  <c r="AH7" i="1"/>
  <c r="AN7" i="1" s="1"/>
  <c r="AG7" i="1"/>
  <c r="AM7" i="1" s="1"/>
  <c r="AF7" i="1"/>
  <c r="AE7" i="1"/>
  <c r="AD7" i="1"/>
  <c r="AJ7" i="1" s="1"/>
  <c r="W7" i="1"/>
  <c r="V7" i="1"/>
  <c r="U7" i="1"/>
  <c r="DT7" i="1" s="1"/>
  <c r="FC7" i="1" s="1"/>
  <c r="Q7" i="1"/>
  <c r="R7" i="1" s="1"/>
  <c r="P7" i="1"/>
  <c r="M7" i="1"/>
  <c r="DF1" i="1"/>
  <c r="DE1" i="1"/>
  <c r="DD1" i="1"/>
  <c r="DC1" i="1"/>
  <c r="DA1" i="1"/>
  <c r="CV1" i="1"/>
  <c r="CU1" i="1"/>
  <c r="CQ1" i="1"/>
  <c r="CO1" i="1"/>
  <c r="CN1" i="1"/>
  <c r="CM1" i="1"/>
  <c r="CL1" i="1"/>
  <c r="CJ1" i="1"/>
  <c r="CI1" i="1"/>
  <c r="CH1" i="1"/>
  <c r="CF1" i="1"/>
  <c r="CE1" i="1"/>
  <c r="CD1" i="1"/>
  <c r="CC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L1" i="1"/>
  <c r="BK1" i="1"/>
  <c r="BJ1" i="1"/>
  <c r="BI1" i="1"/>
  <c r="BD1" i="1"/>
  <c r="BA1" i="1"/>
  <c r="AZ1" i="1"/>
  <c r="AY1" i="1"/>
  <c r="AX1" i="1"/>
  <c r="AW1" i="1"/>
  <c r="AV1" i="1"/>
  <c r="AL1" i="1"/>
  <c r="AI1" i="1"/>
  <c r="AH1" i="1"/>
  <c r="AG1" i="1"/>
  <c r="AF1" i="1"/>
  <c r="AE1" i="1"/>
  <c r="AD1" i="1"/>
  <c r="V1" i="1"/>
  <c r="U1" i="1"/>
  <c r="T1" i="1"/>
  <c r="S1" i="1"/>
  <c r="Q1" i="1"/>
  <c r="P1" i="1"/>
  <c r="O1" i="1"/>
  <c r="N1" i="1"/>
  <c r="M1" i="1"/>
  <c r="F174" i="2" l="1"/>
  <c r="F172" i="2"/>
  <c r="F176" i="2"/>
  <c r="F221" i="2" s="1"/>
  <c r="FE2" i="1"/>
  <c r="EW2" i="1"/>
  <c r="FB2" i="1"/>
  <c r="EZ2" i="1"/>
  <c r="FC2" i="1"/>
  <c r="D187" i="2"/>
  <c r="D188" i="2" s="1"/>
  <c r="D190" i="2" s="1"/>
  <c r="D191" i="2" s="1"/>
  <c r="D203" i="2"/>
  <c r="DG7" i="1"/>
  <c r="ER8" i="1"/>
  <c r="BH9" i="1"/>
  <c r="CB11" i="1"/>
  <c r="BH13" i="1"/>
  <c r="DH13" i="1" s="1"/>
  <c r="EQ13" i="1" s="1"/>
  <c r="CP1" i="1"/>
  <c r="CR7" i="1"/>
  <c r="ER11" i="1"/>
  <c r="ER16" i="1"/>
  <c r="AM1" i="1"/>
  <c r="CB9" i="1"/>
  <c r="ER10" i="1"/>
  <c r="BH11" i="1"/>
  <c r="ER12" i="1"/>
  <c r="ER13" i="1"/>
  <c r="BH14" i="1"/>
  <c r="ER14" i="1"/>
  <c r="BH15" i="1"/>
  <c r="CA1" i="1"/>
  <c r="CB7" i="1"/>
  <c r="R1" i="1"/>
  <c r="AJ1" i="1"/>
  <c r="BH7" i="1"/>
  <c r="AN1" i="1"/>
  <c r="BE1" i="1"/>
  <c r="BC1" i="1"/>
  <c r="BG1" i="1"/>
  <c r="CB8" i="1"/>
  <c r="DG8" i="1"/>
  <c r="ET8" i="1" s="1"/>
  <c r="ER9" i="1"/>
  <c r="ER15" i="1"/>
  <c r="BM8" i="1"/>
  <c r="W9" i="1"/>
  <c r="BM9" i="1"/>
  <c r="CX9" i="1" s="1"/>
  <c r="CY9" i="1" s="1"/>
  <c r="W10" i="1"/>
  <c r="CX10" i="1" s="1"/>
  <c r="CY10" i="1" s="1"/>
  <c r="BM10" i="1"/>
  <c r="W11" i="1"/>
  <c r="CX11" i="1" s="1"/>
  <c r="CY11" i="1" s="1"/>
  <c r="BM11" i="1"/>
  <c r="W12" i="1"/>
  <c r="CX12" i="1" s="1"/>
  <c r="CY12" i="1" s="1"/>
  <c r="DH15" i="1"/>
  <c r="EQ15" i="1" s="1"/>
  <c r="CK15" i="1"/>
  <c r="CX15" i="1" s="1"/>
  <c r="BH17" i="1"/>
  <c r="DG18" i="1"/>
  <c r="ET18" i="1" s="1"/>
  <c r="DG20" i="1"/>
  <c r="ET20" i="1" s="1"/>
  <c r="DG22" i="1"/>
  <c r="ET22" i="1" s="1"/>
  <c r="CK23" i="1"/>
  <c r="DG23" i="1"/>
  <c r="ET23" i="1" s="1"/>
  <c r="DG24" i="1"/>
  <c r="ET24" i="1" s="1"/>
  <c r="DG25" i="1"/>
  <c r="ET25" i="1" s="1"/>
  <c r="CK8" i="1"/>
  <c r="CK9" i="1"/>
  <c r="CK10" i="1"/>
  <c r="CK11" i="1"/>
  <c r="CK12" i="1"/>
  <c r="CK13" i="1"/>
  <c r="CX13" i="1" s="1"/>
  <c r="CY13" i="1" s="1"/>
  <c r="ER18" i="1"/>
  <c r="ER20" i="1"/>
  <c r="ER22" i="1"/>
  <c r="ER23" i="1"/>
  <c r="CX23" i="1"/>
  <c r="ER24" i="1"/>
  <c r="ER25" i="1"/>
  <c r="ER26" i="1"/>
  <c r="ER27" i="1"/>
  <c r="CX30" i="1"/>
  <c r="ER30" i="1"/>
  <c r="W14" i="1"/>
  <c r="CK14" i="1" s="1"/>
  <c r="BM14" i="1"/>
  <c r="DG16" i="1"/>
  <c r="ET16" i="1" s="1"/>
  <c r="DH17" i="1"/>
  <c r="EQ17" i="1" s="1"/>
  <c r="CK17" i="1"/>
  <c r="DG17" i="1"/>
  <c r="ET17" i="1" s="1"/>
  <c r="CK19" i="1"/>
  <c r="CK21" i="1"/>
  <c r="BH16" i="1"/>
  <c r="CK16" i="1" s="1"/>
  <c r="ER17" i="1"/>
  <c r="CX17" i="1"/>
  <c r="BH18" i="1"/>
  <c r="CK18" i="1" s="1"/>
  <c r="DH19" i="1"/>
  <c r="EQ19" i="1" s="1"/>
  <c r="ER19" i="1"/>
  <c r="CX19" i="1"/>
  <c r="BH20" i="1"/>
  <c r="DH20" i="1" s="1"/>
  <c r="EQ20" i="1" s="1"/>
  <c r="DH21" i="1"/>
  <c r="EQ21" i="1" s="1"/>
  <c r="ER21" i="1"/>
  <c r="CX21" i="1"/>
  <c r="BH22" i="1"/>
  <c r="CK22" i="1" s="1"/>
  <c r="DH23" i="1"/>
  <c r="EQ23" i="1" s="1"/>
  <c r="BH24" i="1"/>
  <c r="BH25" i="1"/>
  <c r="DH25" i="1" s="1"/>
  <c r="EQ25" i="1" s="1"/>
  <c r="BH26" i="1"/>
  <c r="CK26" i="1" s="1"/>
  <c r="BH27" i="1"/>
  <c r="CK27" i="1" s="1"/>
  <c r="ER28" i="1"/>
  <c r="CX29" i="1"/>
  <c r="ER29" i="1"/>
  <c r="BM27" i="1"/>
  <c r="DH27" i="1" s="1"/>
  <c r="EQ27" i="1" s="1"/>
  <c r="W28" i="1"/>
  <c r="CK28" i="1" s="1"/>
  <c r="BM28" i="1"/>
  <c r="CX28" i="1" s="1"/>
  <c r="DG30" i="1"/>
  <c r="ET30" i="1" s="1"/>
  <c r="CB31" i="1"/>
  <c r="CK31" i="1" s="1"/>
  <c r="ER33" i="1"/>
  <c r="CB34" i="1"/>
  <c r="BH35" i="1"/>
  <c r="CK35" i="1" s="1"/>
  <c r="ER37" i="1"/>
  <c r="CB38" i="1"/>
  <c r="BH39" i="1"/>
  <c r="CK39" i="1" s="1"/>
  <c r="CY17" i="1"/>
  <c r="CY19" i="1"/>
  <c r="CY21" i="1"/>
  <c r="CY23" i="1"/>
  <c r="DH29" i="1"/>
  <c r="EQ29" i="1" s="1"/>
  <c r="BH32" i="1"/>
  <c r="CK32" i="1" s="1"/>
  <c r="ER34" i="1"/>
  <c r="CB35" i="1"/>
  <c r="DH35" i="1" s="1"/>
  <c r="EQ35" i="1" s="1"/>
  <c r="BH36" i="1"/>
  <c r="DH36" i="1" s="1"/>
  <c r="EQ36" i="1" s="1"/>
  <c r="ER38" i="1"/>
  <c r="CB39" i="1"/>
  <c r="ER43" i="1"/>
  <c r="DH28" i="1"/>
  <c r="EQ28" i="1" s="1"/>
  <c r="DG28" i="1"/>
  <c r="ET28" i="1" s="1"/>
  <c r="DH30" i="1"/>
  <c r="EQ30" i="1" s="1"/>
  <c r="ER31" i="1"/>
  <c r="DH32" i="1"/>
  <c r="EQ32" i="1" s="1"/>
  <c r="ER35" i="1"/>
  <c r="CB36" i="1"/>
  <c r="BH37" i="1"/>
  <c r="CK37" i="1" s="1"/>
  <c r="ER39" i="1"/>
  <c r="ER40" i="1"/>
  <c r="DG29" i="1"/>
  <c r="ET29" i="1" s="1"/>
  <c r="DH31" i="1"/>
  <c r="EQ31" i="1" s="1"/>
  <c r="ER32" i="1"/>
  <c r="CB33" i="1"/>
  <c r="DH33" i="1" s="1"/>
  <c r="EQ33" i="1" s="1"/>
  <c r="BH34" i="1"/>
  <c r="DH34" i="1" s="1"/>
  <c r="EQ34" i="1" s="1"/>
  <c r="ER36" i="1"/>
  <c r="CB37" i="1"/>
  <c r="DH37" i="1" s="1"/>
  <c r="EQ37" i="1" s="1"/>
  <c r="BH38" i="1"/>
  <c r="DH38" i="1" s="1"/>
  <c r="EQ38" i="1" s="1"/>
  <c r="CK40" i="1"/>
  <c r="ER45" i="1"/>
  <c r="ER46" i="1"/>
  <c r="ER47" i="1"/>
  <c r="ER48" i="1"/>
  <c r="ER49" i="1"/>
  <c r="ER50" i="1"/>
  <c r="DH40" i="1"/>
  <c r="EQ40" i="1" s="1"/>
  <c r="DH41" i="1"/>
  <c r="EQ41" i="1" s="1"/>
  <c r="BH43" i="1"/>
  <c r="CX43" i="1" s="1"/>
  <c r="CY43" i="1" s="1"/>
  <c r="DG44" i="1"/>
  <c r="ET44" i="1" s="1"/>
  <c r="ER53" i="1"/>
  <c r="CY29" i="1"/>
  <c r="CY30" i="1"/>
  <c r="DG40" i="1"/>
  <c r="ET40" i="1" s="1"/>
  <c r="CK41" i="1"/>
  <c r="CX41" i="1" s="1"/>
  <c r="CY41" i="1" s="1"/>
  <c r="ER41" i="1"/>
  <c r="BH42" i="1"/>
  <c r="DH42" i="1" s="1"/>
  <c r="EQ42" i="1" s="1"/>
  <c r="BH44" i="1"/>
  <c r="CK44" i="1" s="1"/>
  <c r="ER44" i="1"/>
  <c r="BH45" i="1"/>
  <c r="CX45" i="1" s="1"/>
  <c r="CY45" i="1" s="1"/>
  <c r="DH46" i="1"/>
  <c r="EQ46" i="1" s="1"/>
  <c r="DH47" i="1"/>
  <c r="EQ47" i="1" s="1"/>
  <c r="DH48" i="1"/>
  <c r="EQ48" i="1" s="1"/>
  <c r="BH49" i="1"/>
  <c r="CX49" i="1" s="1"/>
  <c r="CY49" i="1" s="1"/>
  <c r="DH43" i="1"/>
  <c r="EQ43" i="1" s="1"/>
  <c r="CK43" i="1"/>
  <c r="CK45" i="1"/>
  <c r="DG45" i="1"/>
  <c r="ET45" i="1" s="1"/>
  <c r="CK46" i="1"/>
  <c r="CX46" i="1" s="1"/>
  <c r="CY46" i="1" s="1"/>
  <c r="DG46" i="1"/>
  <c r="ET46" i="1" s="1"/>
  <c r="CK47" i="1"/>
  <c r="CX47" i="1" s="1"/>
  <c r="CY47" i="1" s="1"/>
  <c r="DG47" i="1"/>
  <c r="ET47" i="1" s="1"/>
  <c r="CK48" i="1"/>
  <c r="CX48" i="1" s="1"/>
  <c r="CY48" i="1" s="1"/>
  <c r="DG48" i="1"/>
  <c r="ET48" i="1" s="1"/>
  <c r="CK49" i="1"/>
  <c r="DG49" i="1"/>
  <c r="ET49" i="1" s="1"/>
  <c r="D199" i="2"/>
  <c r="D183" i="2"/>
  <c r="D184" i="2" s="1"/>
  <c r="D133" i="2"/>
  <c r="E130" i="2"/>
  <c r="D76" i="2"/>
  <c r="F71" i="2"/>
  <c r="F85" i="2" s="1"/>
  <c r="F67" i="2"/>
  <c r="F43" i="2"/>
  <c r="F39" i="2"/>
  <c r="F35" i="2"/>
  <c r="E27" i="2"/>
  <c r="E16" i="2"/>
  <c r="E15" i="2"/>
  <c r="E14" i="2"/>
  <c r="E13" i="2"/>
  <c r="E131" i="2"/>
  <c r="F90" i="2"/>
  <c r="E79" i="2"/>
  <c r="D77" i="2"/>
  <c r="F70" i="2"/>
  <c r="F66" i="2"/>
  <c r="F47" i="2"/>
  <c r="F42" i="2"/>
  <c r="F38" i="2"/>
  <c r="F34" i="2"/>
  <c r="F28" i="2"/>
  <c r="D27" i="2"/>
  <c r="F27" i="2" s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E133" i="2"/>
  <c r="C101" i="2"/>
  <c r="D75" i="2"/>
  <c r="F44" i="2"/>
  <c r="F257" i="2" s="1"/>
  <c r="F273" i="2" s="1"/>
  <c r="F36" i="2"/>
  <c r="E132" i="2"/>
  <c r="F89" i="2"/>
  <c r="E80" i="2"/>
  <c r="F69" i="2"/>
  <c r="F41" i="2"/>
  <c r="D132" i="2"/>
  <c r="E129" i="2"/>
  <c r="D80" i="2"/>
  <c r="F68" i="2"/>
  <c r="F40" i="2"/>
  <c r="D131" i="2"/>
  <c r="E128" i="2"/>
  <c r="D79" i="2"/>
  <c r="F45" i="2"/>
  <c r="F37" i="2"/>
  <c r="BH50" i="1"/>
  <c r="CK50" i="1" s="1"/>
  <c r="BH51" i="1"/>
  <c r="CK51" i="1"/>
  <c r="ER52" i="1"/>
  <c r="BH53" i="1"/>
  <c r="CX53" i="1" s="1"/>
  <c r="BH54" i="1"/>
  <c r="ER55" i="1"/>
  <c r="BH56" i="1"/>
  <c r="DH49" i="1"/>
  <c r="EQ49" i="1" s="1"/>
  <c r="DH50" i="1"/>
  <c r="EQ50" i="1" s="1"/>
  <c r="DH52" i="1"/>
  <c r="EQ52" i="1" s="1"/>
  <c r="CK52" i="1"/>
  <c r="CX52" i="1" s="1"/>
  <c r="CY52" i="1" s="1"/>
  <c r="CK54" i="1"/>
  <c r="CX54" i="1" s="1"/>
  <c r="CY54" i="1" s="1"/>
  <c r="DG54" i="1"/>
  <c r="ET54" i="1" s="1"/>
  <c r="CK56" i="1"/>
  <c r="DG56" i="1"/>
  <c r="ET56" i="1" s="1"/>
  <c r="BH57" i="1"/>
  <c r="BH58" i="1"/>
  <c r="BH59" i="1"/>
  <c r="BH60" i="1"/>
  <c r="BH61" i="1"/>
  <c r="CG50" i="1"/>
  <c r="CG1" i="1" s="1"/>
  <c r="DH51" i="1"/>
  <c r="EQ51" i="1" s="1"/>
  <c r="CX51" i="1"/>
  <c r="CY51" i="1" s="1"/>
  <c r="DG52" i="1"/>
  <c r="ET52" i="1" s="1"/>
  <c r="DH53" i="1"/>
  <c r="EQ53" i="1" s="1"/>
  <c r="CK53" i="1"/>
  <c r="DH54" i="1"/>
  <c r="EQ54" i="1" s="1"/>
  <c r="ER54" i="1"/>
  <c r="BH55" i="1"/>
  <c r="CK55" i="1" s="1"/>
  <c r="DH56" i="1"/>
  <c r="EQ56" i="1" s="1"/>
  <c r="CX56" i="1"/>
  <c r="ER56" i="1"/>
  <c r="ER57" i="1"/>
  <c r="ER58" i="1"/>
  <c r="ER59" i="1"/>
  <c r="ER60" i="1"/>
  <c r="CK61" i="1"/>
  <c r="DH57" i="1"/>
  <c r="EQ57" i="1" s="1"/>
  <c r="DH59" i="1"/>
  <c r="EQ59" i="1" s="1"/>
  <c r="DG60" i="1"/>
  <c r="ET60" i="1" s="1"/>
  <c r="DB60" i="1"/>
  <c r="DB1" i="1" s="1"/>
  <c r="CX61" i="1"/>
  <c r="W57" i="1"/>
  <c r="CK57" i="1" s="1"/>
  <c r="CX57" i="1" s="1"/>
  <c r="BM57" i="1"/>
  <c r="W58" i="1"/>
  <c r="BM58" i="1"/>
  <c r="W59" i="1"/>
  <c r="CK59" i="1" s="1"/>
  <c r="CX59" i="1" s="1"/>
  <c r="BM59" i="1"/>
  <c r="W60" i="1"/>
  <c r="CK60" i="1" s="1"/>
  <c r="CY56" i="1"/>
  <c r="BH62" i="1"/>
  <c r="F147" i="2"/>
  <c r="F220" i="2" s="1"/>
  <c r="CG61" i="1"/>
  <c r="DH61" i="1" s="1"/>
  <c r="EQ61" i="1" s="1"/>
  <c r="CG62" i="1"/>
  <c r="E17" i="2"/>
  <c r="E18" i="2"/>
  <c r="E19" i="2"/>
  <c r="E20" i="2"/>
  <c r="E21" i="2"/>
  <c r="E22" i="2"/>
  <c r="E23" i="2"/>
  <c r="E24" i="2"/>
  <c r="E25" i="2"/>
  <c r="E26" i="2"/>
  <c r="F79" i="2" l="1"/>
  <c r="F131" i="2"/>
  <c r="F87" i="2"/>
  <c r="F86" i="2"/>
  <c r="F132" i="2"/>
  <c r="F80" i="2"/>
  <c r="F16" i="2"/>
  <c r="I16" i="2" s="1"/>
  <c r="F193" i="2"/>
  <c r="F222" i="2" s="1"/>
  <c r="EU54" i="1"/>
  <c r="ES54" i="1"/>
  <c r="EU51" i="1"/>
  <c r="ES51" i="1"/>
  <c r="EU48" i="1"/>
  <c r="ES48" i="1"/>
  <c r="CY53" i="1"/>
  <c r="EU49" i="1"/>
  <c r="ES49" i="1"/>
  <c r="EU45" i="1"/>
  <c r="ES45" i="1"/>
  <c r="CX39" i="1"/>
  <c r="CY28" i="1"/>
  <c r="EU47" i="1"/>
  <c r="ES47" i="1"/>
  <c r="EU41" i="1"/>
  <c r="ES41" i="1"/>
  <c r="CX32" i="1"/>
  <c r="CY32" i="1" s="1"/>
  <c r="CX31" i="1"/>
  <c r="CY31" i="1" s="1"/>
  <c r="EU13" i="1"/>
  <c r="ES13" i="1"/>
  <c r="EU12" i="1"/>
  <c r="ES12" i="1"/>
  <c r="EU10" i="1"/>
  <c r="ES10" i="1"/>
  <c r="CY35" i="1"/>
  <c r="CX35" i="1"/>
  <c r="EU9" i="1"/>
  <c r="ES9" i="1"/>
  <c r="EU52" i="1"/>
  <c r="ES52" i="1"/>
  <c r="EU46" i="1"/>
  <c r="ES46" i="1"/>
  <c r="EU43" i="1"/>
  <c r="ES43" i="1"/>
  <c r="CY39" i="1"/>
  <c r="EU11" i="1"/>
  <c r="ES11" i="1"/>
  <c r="CX55" i="1"/>
  <c r="CY55" i="1" s="1"/>
  <c r="D129" i="2"/>
  <c r="F129" i="2" s="1"/>
  <c r="F14" i="2"/>
  <c r="I14" i="2" s="1"/>
  <c r="F18" i="2"/>
  <c r="I18" i="2" s="1"/>
  <c r="F22" i="2"/>
  <c r="I22" i="2" s="1"/>
  <c r="F26" i="2"/>
  <c r="I26" i="2" s="1"/>
  <c r="CX44" i="1"/>
  <c r="CY44" i="1" s="1"/>
  <c r="EU29" i="1"/>
  <c r="ES29" i="1"/>
  <c r="DH45" i="1"/>
  <c r="EQ45" i="1" s="1"/>
  <c r="ES23" i="1"/>
  <c r="EU23" i="1"/>
  <c r="ES19" i="1"/>
  <c r="EU19" i="1"/>
  <c r="CX37" i="1"/>
  <c r="CY37" i="1" s="1"/>
  <c r="DH22" i="1"/>
  <c r="EQ22" i="1" s="1"/>
  <c r="CX18" i="1"/>
  <c r="CY18" i="1" s="1"/>
  <c r="DH16" i="1"/>
  <c r="EQ16" i="1" s="1"/>
  <c r="CK25" i="1"/>
  <c r="CK20" i="1"/>
  <c r="DH14" i="1"/>
  <c r="EQ14" i="1" s="1"/>
  <c r="BM1" i="1"/>
  <c r="DH12" i="1"/>
  <c r="EQ12" i="1" s="1"/>
  <c r="CX16" i="1"/>
  <c r="CY16" i="1" s="1"/>
  <c r="DH10" i="1"/>
  <c r="EQ10" i="1" s="1"/>
  <c r="DH62" i="1"/>
  <c r="EQ62" i="1" s="1"/>
  <c r="CK58" i="1"/>
  <c r="CX58" i="1" s="1"/>
  <c r="CY58" i="1" s="1"/>
  <c r="DH55" i="1"/>
  <c r="EQ55" i="1" s="1"/>
  <c r="C102" i="2"/>
  <c r="C103" i="2" s="1"/>
  <c r="F104" i="2" s="1"/>
  <c r="F114" i="2" s="1"/>
  <c r="F218" i="2" s="1"/>
  <c r="D130" i="2"/>
  <c r="F130" i="2" s="1"/>
  <c r="F15" i="2"/>
  <c r="I15" i="2" s="1"/>
  <c r="F19" i="2"/>
  <c r="I19" i="2" s="1"/>
  <c r="F23" i="2"/>
  <c r="I23" i="2" s="1"/>
  <c r="F250" i="2"/>
  <c r="I27" i="2"/>
  <c r="F133" i="2"/>
  <c r="CX50" i="1"/>
  <c r="DH44" i="1"/>
  <c r="EQ44" i="1" s="1"/>
  <c r="CK34" i="1"/>
  <c r="CX34" i="1" s="1"/>
  <c r="CX40" i="1"/>
  <c r="CY40" i="1" s="1"/>
  <c r="DH39" i="1"/>
  <c r="EQ39" i="1" s="1"/>
  <c r="CK36" i="1"/>
  <c r="DH26" i="1"/>
  <c r="EQ26" i="1" s="1"/>
  <c r="DH24" i="1"/>
  <c r="EQ24" i="1" s="1"/>
  <c r="CX27" i="1"/>
  <c r="CY27" i="1" s="1"/>
  <c r="CX20" i="1"/>
  <c r="CY15" i="1"/>
  <c r="CB1" i="1"/>
  <c r="CX14" i="1"/>
  <c r="CS7" i="1"/>
  <c r="CR1" i="1"/>
  <c r="CX8" i="1"/>
  <c r="CY8" i="1" s="1"/>
  <c r="CY60" i="1"/>
  <c r="CY61" i="1"/>
  <c r="CK62" i="1"/>
  <c r="DH60" i="1"/>
  <c r="EQ60" i="1" s="1"/>
  <c r="DH58" i="1"/>
  <c r="EQ58" i="1" s="1"/>
  <c r="CX60" i="1"/>
  <c r="F20" i="2"/>
  <c r="I20" i="2" s="1"/>
  <c r="D54" i="2"/>
  <c r="F54" i="2" s="1"/>
  <c r="F24" i="2"/>
  <c r="I24" i="2" s="1"/>
  <c r="F249" i="2"/>
  <c r="I28" i="2"/>
  <c r="F265" i="2"/>
  <c r="E77" i="2"/>
  <c r="F77" i="2" s="1"/>
  <c r="E76" i="2"/>
  <c r="F76" i="2" s="1"/>
  <c r="E75" i="2"/>
  <c r="F75" i="2" s="1"/>
  <c r="CK42" i="1"/>
  <c r="CK33" i="1"/>
  <c r="ES21" i="1"/>
  <c r="EU21" i="1"/>
  <c r="ES17" i="1"/>
  <c r="EU17" i="1"/>
  <c r="CX33" i="1"/>
  <c r="CX26" i="1"/>
  <c r="CY26" i="1" s="1"/>
  <c r="CX24" i="1"/>
  <c r="CX22" i="1"/>
  <c r="CY22" i="1" s="1"/>
  <c r="DH18" i="1"/>
  <c r="EQ18" i="1" s="1"/>
  <c r="CK24" i="1"/>
  <c r="CY24" i="1" s="1"/>
  <c r="BH1" i="1"/>
  <c r="DH11" i="1"/>
  <c r="EQ11" i="1" s="1"/>
  <c r="ET7" i="1"/>
  <c r="ET2" i="1" s="1"/>
  <c r="DG1" i="1"/>
  <c r="EU56" i="1"/>
  <c r="ES56" i="1"/>
  <c r="CY59" i="1"/>
  <c r="CY57" i="1"/>
  <c r="CY50" i="1"/>
  <c r="D58" i="2"/>
  <c r="F58" i="2" s="1"/>
  <c r="D56" i="2"/>
  <c r="F56" i="2" s="1"/>
  <c r="F235" i="2"/>
  <c r="D204" i="2"/>
  <c r="D205" i="2" s="1"/>
  <c r="D206" i="2" s="1"/>
  <c r="F208" i="2" s="1"/>
  <c r="F223" i="2" s="1"/>
  <c r="D128" i="2"/>
  <c r="F128" i="2" s="1"/>
  <c r="D55" i="2"/>
  <c r="F55" i="2" s="1"/>
  <c r="F13" i="2"/>
  <c r="D57" i="2"/>
  <c r="F57" i="2" s="1"/>
  <c r="D53" i="2"/>
  <c r="F53" i="2" s="1"/>
  <c r="F17" i="2"/>
  <c r="I17" i="2" s="1"/>
  <c r="F21" i="2"/>
  <c r="I21" i="2" s="1"/>
  <c r="F25" i="2"/>
  <c r="I25" i="2" s="1"/>
  <c r="EU30" i="1"/>
  <c r="ES30" i="1"/>
  <c r="CK38" i="1"/>
  <c r="CY14" i="1"/>
  <c r="W1" i="1"/>
  <c r="DH8" i="1"/>
  <c r="EQ8" i="1" s="1"/>
  <c r="DH9" i="1"/>
  <c r="EQ9" i="1" s="1"/>
  <c r="DH7" i="1"/>
  <c r="CK7" i="1"/>
  <c r="F30" i="2" l="1"/>
  <c r="F49" i="2" s="1"/>
  <c r="F92" i="2"/>
  <c r="F217" i="2" s="1"/>
  <c r="ES26" i="1"/>
  <c r="EU26" i="1"/>
  <c r="EU40" i="1"/>
  <c r="ES40" i="1"/>
  <c r="ES16" i="1"/>
  <c r="EU16" i="1"/>
  <c r="EU44" i="1"/>
  <c r="ES44" i="1"/>
  <c r="F82" i="2"/>
  <c r="EU58" i="1"/>
  <c r="ES58" i="1"/>
  <c r="EU37" i="1"/>
  <c r="ES37" i="1"/>
  <c r="ES22" i="1"/>
  <c r="EU22" i="1"/>
  <c r="EU55" i="1"/>
  <c r="ES55" i="1"/>
  <c r="EU31" i="1"/>
  <c r="ES31" i="1"/>
  <c r="ES24" i="1"/>
  <c r="EU24" i="1"/>
  <c r="EU27" i="1"/>
  <c r="ES27" i="1"/>
  <c r="ES18" i="1"/>
  <c r="EU18" i="1"/>
  <c r="EU32" i="1"/>
  <c r="ES32" i="1"/>
  <c r="CY33" i="1"/>
  <c r="EU60" i="1"/>
  <c r="ES60" i="1"/>
  <c r="CX36" i="1"/>
  <c r="CY36" i="1"/>
  <c r="CY20" i="1"/>
  <c r="EU35" i="1"/>
  <c r="ES35" i="1"/>
  <c r="EU28" i="1"/>
  <c r="ES28" i="1"/>
  <c r="I13" i="2"/>
  <c r="I30" i="2" s="1"/>
  <c r="F252" i="2"/>
  <c r="F237" i="2"/>
  <c r="F271" i="2" s="1"/>
  <c r="F236" i="2"/>
  <c r="EU57" i="1"/>
  <c r="ES57" i="1"/>
  <c r="CX42" i="1"/>
  <c r="CY42" i="1" s="1"/>
  <c r="EU8" i="1"/>
  <c r="ES8" i="1"/>
  <c r="F266" i="2"/>
  <c r="F274" i="2" s="1"/>
  <c r="F258" i="2"/>
  <c r="CX25" i="1"/>
  <c r="CY25" i="1" s="1"/>
  <c r="EU39" i="1"/>
  <c r="ES39" i="1"/>
  <c r="EU53" i="1"/>
  <c r="ES53" i="1"/>
  <c r="EU50" i="1"/>
  <c r="ES50" i="1"/>
  <c r="CK1" i="1"/>
  <c r="EQ7" i="1"/>
  <c r="EQ2" i="1" s="1"/>
  <c r="DH1" i="1"/>
  <c r="EU59" i="1"/>
  <c r="ES59" i="1"/>
  <c r="ES15" i="1"/>
  <c r="EU15" i="1"/>
  <c r="CX62" i="1"/>
  <c r="CY62" i="1" s="1"/>
  <c r="EU14" i="1"/>
  <c r="ES14" i="1"/>
  <c r="F60" i="2"/>
  <c r="F135" i="2"/>
  <c r="F137" i="2" s="1"/>
  <c r="CX38" i="1"/>
  <c r="CY38" i="1" s="1"/>
  <c r="EU61" i="1"/>
  <c r="ES61" i="1"/>
  <c r="CT7" i="1"/>
  <c r="CS1" i="1"/>
  <c r="CY34" i="1"/>
  <c r="ES25" i="1" l="1"/>
  <c r="EU25" i="1"/>
  <c r="EU62" i="1"/>
  <c r="ES62" i="1"/>
  <c r="F248" i="2"/>
  <c r="F219" i="2"/>
  <c r="EU42" i="1"/>
  <c r="ES42" i="1"/>
  <c r="EU38" i="1"/>
  <c r="ES38" i="1"/>
  <c r="CT1" i="1"/>
  <c r="CW7" i="1"/>
  <c r="ES20" i="1"/>
  <c r="EU20" i="1"/>
  <c r="F268" i="2"/>
  <c r="F255" i="2"/>
  <c r="F247" i="2"/>
  <c r="F62" i="2"/>
  <c r="EU36" i="1"/>
  <c r="ES36" i="1"/>
  <c r="EU34" i="1"/>
  <c r="ES34" i="1"/>
  <c r="EU33" i="1"/>
  <c r="ES33" i="1"/>
  <c r="F251" i="2" l="1"/>
  <c r="F253" i="2" s="1"/>
  <c r="F254" i="2" s="1"/>
  <c r="F256" i="2" s="1"/>
  <c r="F260" i="2" s="1"/>
  <c r="F264" i="2" s="1"/>
  <c r="F267" i="2" s="1"/>
  <c r="F269" i="2" s="1"/>
  <c r="F270" i="2" s="1"/>
  <c r="F272" i="2" s="1"/>
  <c r="F276" i="2" s="1"/>
  <c r="CX7" i="1"/>
  <c r="CW1" i="1"/>
  <c r="ER7" i="1"/>
  <c r="ER2" i="1" s="1"/>
  <c r="F116" i="2"/>
  <c r="F216" i="2"/>
  <c r="F227" i="2" s="1"/>
  <c r="CX1" i="1" l="1"/>
  <c r="CX3" i="1"/>
  <c r="CX4" i="1" s="1"/>
  <c r="CY7" i="1"/>
  <c r="EU7" i="1" l="1"/>
  <c r="EU2" i="1" s="1"/>
  <c r="CY1" i="1"/>
  <c r="EP2" i="1"/>
  <c r="ES7" i="1"/>
  <c r="ES2" i="1" s="1"/>
</calcChain>
</file>

<file path=xl/sharedStrings.xml><?xml version="1.0" encoding="utf-8"?>
<sst xmlns="http://schemas.openxmlformats.org/spreadsheetml/2006/main" count="575" uniqueCount="481">
  <si>
    <t>Primary</t>
  </si>
  <si>
    <t>KS3 (secondary on own)</t>
  </si>
  <si>
    <t>5/12 Allocation</t>
  </si>
  <si>
    <t>12/12 Allocation</t>
  </si>
  <si>
    <t>Formula exc.MFG</t>
  </si>
  <si>
    <t>Notional SEN</t>
  </si>
  <si>
    <t>MFG Budget</t>
  </si>
  <si>
    <t>Final Formula</t>
  </si>
  <si>
    <t>De-delegation</t>
  </si>
  <si>
    <t>Formula after de-delegation</t>
  </si>
  <si>
    <t>EY Base Rate</t>
  </si>
  <si>
    <t>EY FSM Rate</t>
  </si>
  <si>
    <t>EY IDACI Rate</t>
  </si>
  <si>
    <t>EY QTS Rate</t>
  </si>
  <si>
    <t>EY MNS Rate</t>
  </si>
  <si>
    <t>EY Total Rate</t>
  </si>
  <si>
    <t>HN Places</t>
  </si>
  <si>
    <t>Mainstream Schools Additional Grant</t>
  </si>
  <si>
    <t>22/23 Academic Recovery Premium</t>
  </si>
  <si>
    <t>5/12 of 22/23 PE &amp; Sport</t>
  </si>
  <si>
    <t>MFG Year 2</t>
  </si>
  <si>
    <t>MFG Year 3</t>
  </si>
  <si>
    <t>KS4</t>
  </si>
  <si>
    <t>URN</t>
  </si>
  <si>
    <t>LAESTAB</t>
  </si>
  <si>
    <t>School Name</t>
  </si>
  <si>
    <t>NOR</t>
  </si>
  <si>
    <t>NOR Primary</t>
  </si>
  <si>
    <t>NOR Reception</t>
  </si>
  <si>
    <t>NOR Y1-6</t>
  </si>
  <si>
    <t>NOR Secondary</t>
  </si>
  <si>
    <t>NOR KS3</t>
  </si>
  <si>
    <t>NOR KS4</t>
  </si>
  <si>
    <t>Reception Difference</t>
  </si>
  <si>
    <t>AWPU</t>
  </si>
  <si>
    <t>Primary FSM Proportion</t>
  </si>
  <si>
    <t>Secondary FSM Proportion</t>
  </si>
  <si>
    <t>Primary FSM Units</t>
  </si>
  <si>
    <t>Secondary FSM Units</t>
  </si>
  <si>
    <t>FSM</t>
  </si>
  <si>
    <t>Primary FSM6 Proportion</t>
  </si>
  <si>
    <t>Secondary FSM6 Proportion</t>
  </si>
  <si>
    <t>Primary FSM6 Units</t>
  </si>
  <si>
    <t>Secondary FSM6 Units</t>
  </si>
  <si>
    <t>FSM6</t>
  </si>
  <si>
    <t>IDACI Primary Proportion Band F</t>
  </si>
  <si>
    <t>IDACI Primary Proportion Band E</t>
  </si>
  <si>
    <t>IDACI Primary Proportion Band D</t>
  </si>
  <si>
    <t>IDACI Primary Proportion Band C</t>
  </si>
  <si>
    <t>IDACI Primary Proportion Band B</t>
  </si>
  <si>
    <t>IDACI Primary Proportion Band A</t>
  </si>
  <si>
    <t>IDACI Primary Units Band F</t>
  </si>
  <si>
    <t>IDACI Primary Units Band E</t>
  </si>
  <si>
    <t>IDACI Primary Units Band D</t>
  </si>
  <si>
    <t>IDACI Primary Units Band C</t>
  </si>
  <si>
    <t>IDACI Primary Units Band B</t>
  </si>
  <si>
    <t>IDACI Primary Units Band A</t>
  </si>
  <si>
    <t>IDACI Primary Cash Band F</t>
  </si>
  <si>
    <t>IDACI Primary Cash Band E</t>
  </si>
  <si>
    <t>IDACI Primary Cash Band D</t>
  </si>
  <si>
    <t>IDACI Primary Cash Band C</t>
  </si>
  <si>
    <t>IDACI Primary Cash Band B</t>
  </si>
  <si>
    <t>IDACI Primary Cash Band A</t>
  </si>
  <si>
    <t>IDACI Secondary Proportion Band F</t>
  </si>
  <si>
    <t>IDACI Secondary Proportion Band E</t>
  </si>
  <si>
    <t>IDACI Secondary Proportion Band D</t>
  </si>
  <si>
    <t>IDACI Secondary Proportion Band C</t>
  </si>
  <si>
    <t>IDACI Secondary Proportion Band B</t>
  </si>
  <si>
    <t>IDACI Secondary Proportion Band A</t>
  </si>
  <si>
    <t>IDACI Secondary Units Band F</t>
  </si>
  <si>
    <t>IDACI Secondary Units Band E</t>
  </si>
  <si>
    <t>IDACI Secondary Units Band D</t>
  </si>
  <si>
    <t>IDACI Secondary Units Band C</t>
  </si>
  <si>
    <t>IDACI Secondary Units Band B</t>
  </si>
  <si>
    <t>IDACI Secondary Units Band A</t>
  </si>
  <si>
    <t>IDACI Secondary Cash Band F</t>
  </si>
  <si>
    <t>IDACI Secondary Cash Band E</t>
  </si>
  <si>
    <t>IDACI Secondary Cash Band D</t>
  </si>
  <si>
    <t>IDACI Secondary Cash Band C</t>
  </si>
  <si>
    <t>IDACI Secondary Cash Band B</t>
  </si>
  <si>
    <t>IDACI Secondary Cash Band A</t>
  </si>
  <si>
    <t>IDACI TOTAL</t>
  </si>
  <si>
    <t>EAL 3 Primary Proportion</t>
  </si>
  <si>
    <t>EAL 3 Secondary Proportion</t>
  </si>
  <si>
    <t>EAL 3 Primary Units</t>
  </si>
  <si>
    <t>EAL 3 Secondary Units</t>
  </si>
  <si>
    <t>EAL</t>
  </si>
  <si>
    <t>Low Prior Attainment under new EYFSP Proportion</t>
  </si>
  <si>
    <t>Primary Units</t>
  </si>
  <si>
    <t>NOR Y7</t>
  </si>
  <si>
    <t>NOR Y8</t>
  </si>
  <si>
    <t>NOR Y9</t>
  </si>
  <si>
    <t>NOR Y10</t>
  </si>
  <si>
    <t>NOR Y11</t>
  </si>
  <si>
    <t>Low Prior Attainment Secondary Proportion - Y7</t>
  </si>
  <si>
    <t>Low Prior Attainment Secondary Proportion - Y8</t>
  </si>
  <si>
    <t>Low Prior Attainment Secondary Proportion - Y9</t>
  </si>
  <si>
    <t>Low Prior Attainment Secondary Proportion - Y10</t>
  </si>
  <si>
    <t>Low Prior Attainment Secondary Proportion - Y11</t>
  </si>
  <si>
    <t>Secondary Proportion</t>
  </si>
  <si>
    <t>Secondary Units</t>
  </si>
  <si>
    <t>LPA</t>
  </si>
  <si>
    <t>Mobility Primary Proportion</t>
  </si>
  <si>
    <t>Mobility Secondary Proportion</t>
  </si>
  <si>
    <t>Mobility</t>
  </si>
  <si>
    <t>Lump Sum</t>
  </si>
  <si>
    <t>NNDR</t>
  </si>
  <si>
    <t>MPPL BUDGET</t>
  </si>
  <si>
    <t>MPPL</t>
  </si>
  <si>
    <t>22/23 budget</t>
  </si>
  <si>
    <t>22/23 Protected grants</t>
  </si>
  <si>
    <t>22/23 rates</t>
  </si>
  <si>
    <t>23/24 lump</t>
  </si>
  <si>
    <t>22/23 baseline</t>
  </si>
  <si>
    <t>22-23 NOR</t>
  </si>
  <si>
    <t>MFG per pupil</t>
  </si>
  <si>
    <t>Protected per pupil</t>
  </si>
  <si>
    <t>Multiplied up</t>
  </si>
  <si>
    <t>23/24 rates</t>
  </si>
  <si>
    <t>MFG</t>
  </si>
  <si>
    <t>TOTAL</t>
  </si>
  <si>
    <t>School</t>
  </si>
  <si>
    <t>For School Contingencies @ £12.02 per pupil</t>
  </si>
  <si>
    <t>For UPEG/bilingual learners @ £86.00 per EAL pupil</t>
  </si>
  <si>
    <t>Free school meals eligibility service @ £3.38 per pupil</t>
  </si>
  <si>
    <t>Licences/subscriptions @ £3.02 per pupil</t>
  </si>
  <si>
    <t>For Trade Union Supply Cover @ £8.80 per pupil</t>
  </si>
  <si>
    <t>For School Improvement (SRAS) @ £26.10 per pupil</t>
  </si>
  <si>
    <t>Base Rate</t>
  </si>
  <si>
    <t>Free School Meals Supplement</t>
  </si>
  <si>
    <t>Income Deprivation Affecting Children Supplement</t>
  </si>
  <si>
    <t>Qualified Staff Supplement</t>
  </si>
  <si>
    <t>Maintained Nursery Supplement</t>
  </si>
  <si>
    <t>Total Hourly Rate</t>
  </si>
  <si>
    <t>April Pe &amp; Sport Payment</t>
  </si>
  <si>
    <t>22/23 recovery premium</t>
  </si>
  <si>
    <t>Extra Grant</t>
  </si>
  <si>
    <t>Test1</t>
  </si>
  <si>
    <t>Test2</t>
  </si>
  <si>
    <t>Test3</t>
  </si>
  <si>
    <t>Test4</t>
  </si>
  <si>
    <t>Test5</t>
  </si>
  <si>
    <t>Test6</t>
  </si>
  <si>
    <t>Test7</t>
  </si>
  <si>
    <t>Test8</t>
  </si>
  <si>
    <t>Test9</t>
  </si>
  <si>
    <t>Test10</t>
  </si>
  <si>
    <t>Test11</t>
  </si>
  <si>
    <t>Test12</t>
  </si>
  <si>
    <t>Test13</t>
  </si>
  <si>
    <t>Test14</t>
  </si>
  <si>
    <t>Test15</t>
  </si>
  <si>
    <t>Test16</t>
  </si>
  <si>
    <t>Test17</t>
  </si>
  <si>
    <t>Test18</t>
  </si>
  <si>
    <t>Check1</t>
  </si>
  <si>
    <t>Check2</t>
  </si>
  <si>
    <t>Check3</t>
  </si>
  <si>
    <t>Check4</t>
  </si>
  <si>
    <t>Check5</t>
  </si>
  <si>
    <t>Check6</t>
  </si>
  <si>
    <t>Check7</t>
  </si>
  <si>
    <t>Check8</t>
  </si>
  <si>
    <t>Check9</t>
  </si>
  <si>
    <t>Check10</t>
  </si>
  <si>
    <t>Check11</t>
  </si>
  <si>
    <t>Check12</t>
  </si>
  <si>
    <t>Check13</t>
  </si>
  <si>
    <t>Check14</t>
  </si>
  <si>
    <t>Check15</t>
  </si>
  <si>
    <t>Check16</t>
  </si>
  <si>
    <t>Check17</t>
  </si>
  <si>
    <t>Check18</t>
  </si>
  <si>
    <t>Summer hours</t>
  </si>
  <si>
    <t>Autumn Hours</t>
  </si>
  <si>
    <t>Spring Hours</t>
  </si>
  <si>
    <t>EYPP Hours</t>
  </si>
  <si>
    <t>Children eligible for DAF</t>
  </si>
  <si>
    <t>2042048-6671712</t>
  </si>
  <si>
    <t>Berger Primary School</t>
  </si>
  <si>
    <t>2042120-7991622</t>
  </si>
  <si>
    <t>Colvestone Primary School</t>
  </si>
  <si>
    <t>2042150-6569149</t>
  </si>
  <si>
    <t>Daubeney Primary School</t>
  </si>
  <si>
    <t>2042155-6469459</t>
  </si>
  <si>
    <t>De Beauvoir Primary School</t>
  </si>
  <si>
    <t>2042238-6469459</t>
  </si>
  <si>
    <t>Gainsborough Primary School</t>
  </si>
  <si>
    <t>2042376-6569149</t>
  </si>
  <si>
    <t>Lauriston School</t>
  </si>
  <si>
    <t>2042388-5620091</t>
  </si>
  <si>
    <t>London Fields Primary School</t>
  </si>
  <si>
    <t>2042421-8186454</t>
  </si>
  <si>
    <t>Millfields Community School</t>
  </si>
  <si>
    <t>2042431-6469459</t>
  </si>
  <si>
    <t>Morningside Primary School</t>
  </si>
  <si>
    <t>2042450-6045326</t>
  </si>
  <si>
    <t>Orchard Primary School</t>
  </si>
  <si>
    <t>2042487-5759540</t>
  </si>
  <si>
    <t>Queensbridge Primary School</t>
  </si>
  <si>
    <t>2042489-8590919</t>
  </si>
  <si>
    <t>Randal Cremer Primary School</t>
  </si>
  <si>
    <t>2042532-7894238</t>
  </si>
  <si>
    <t>Princess May Primary School</t>
  </si>
  <si>
    <t>2042533-6285253</t>
  </si>
  <si>
    <t>Rushmore Primary School</t>
  </si>
  <si>
    <t>2042534-7156743</t>
  </si>
  <si>
    <t>Gayhurst Community School</t>
  </si>
  <si>
    <t>2042539-6569149</t>
  </si>
  <si>
    <t>Sebright School</t>
  </si>
  <si>
    <t>2042545-8637886</t>
  </si>
  <si>
    <t>Shacklewell Primary School</t>
  </si>
  <si>
    <t>2042564-6045326</t>
  </si>
  <si>
    <t>Southwold Primary School</t>
  </si>
  <si>
    <t>2042592-7991622</t>
  </si>
  <si>
    <t>Thomas Fairchild Community School</t>
  </si>
  <si>
    <t>2042615-8719096</t>
  </si>
  <si>
    <t>Oldhill Community School</t>
  </si>
  <si>
    <t>2042636-6460228</t>
  </si>
  <si>
    <t>Shoreditch Park Primary School</t>
  </si>
  <si>
    <t>2042654-8637886</t>
  </si>
  <si>
    <t>Woodberry Down Community Primary School</t>
  </si>
  <si>
    <t>2042779-7156743</t>
  </si>
  <si>
    <t>Kingsmead Primary School</t>
  </si>
  <si>
    <t>2042795-7268106</t>
  </si>
  <si>
    <t>Sir Thomas Abney School</t>
  </si>
  <si>
    <t>2042856-7326205</t>
  </si>
  <si>
    <t>Grasmere Primary School</t>
  </si>
  <si>
    <t>2042859-7289366</t>
  </si>
  <si>
    <t>Jubilee Primary School</t>
  </si>
  <si>
    <t>2042860-8159138</t>
  </si>
  <si>
    <t>Nightingale Primary School</t>
  </si>
  <si>
    <t>2042861-7051749</t>
  </si>
  <si>
    <t>Baden-Powell School</t>
  </si>
  <si>
    <t>2042862-7533571</t>
  </si>
  <si>
    <t>Harrington Hill Primary School</t>
  </si>
  <si>
    <t>2042863-6562152</t>
  </si>
  <si>
    <t>Holmleigh Primary School</t>
  </si>
  <si>
    <t>2042864-8637886</t>
  </si>
  <si>
    <t>Grazebrook Primary School</t>
  </si>
  <si>
    <t>2042865-6446227</t>
  </si>
  <si>
    <t>Parkwood Primary School</t>
  </si>
  <si>
    <t>2042872-8516333</t>
  </si>
  <si>
    <t>Benthal Primary School</t>
  </si>
  <si>
    <t>2042896-7156743</t>
  </si>
  <si>
    <t>Mandeville Primary School</t>
  </si>
  <si>
    <t>2042897-7996687</t>
  </si>
  <si>
    <t>William Patten Primary School</t>
  </si>
  <si>
    <t>2042898-6045326</t>
  </si>
  <si>
    <t>Hoxton Garden Primary</t>
  </si>
  <si>
    <t>2042899-8219676</t>
  </si>
  <si>
    <t>Betty Layward Primary School</t>
  </si>
  <si>
    <t>2042900-7852512</t>
  </si>
  <si>
    <t>St. Dominic's Catholic Primary School</t>
  </si>
  <si>
    <t>2043000-6469459</t>
  </si>
  <si>
    <t>St John and St James CofE Primary School</t>
  </si>
  <si>
    <t>2043358-6469459</t>
  </si>
  <si>
    <t>Holy Trinity Church of England Primary School</t>
  </si>
  <si>
    <t>2043371-7846392</t>
  </si>
  <si>
    <t>Our Lady and St Joseph Catholic Primary School</t>
  </si>
  <si>
    <t>2043458-6469459</t>
  </si>
  <si>
    <t>St John the Baptist Voluntary Aided Church of England Primary School</t>
  </si>
  <si>
    <t>2043543-6469459</t>
  </si>
  <si>
    <t>St Matthias Church of England Primary School</t>
  </si>
  <si>
    <t>2043553-7278479</t>
  </si>
  <si>
    <t>St Monica's Roman Catholic Primary School</t>
  </si>
  <si>
    <t>2043572-8353154</t>
  </si>
  <si>
    <t>St. Paul's With St. Michael's CofE Primary School</t>
  </si>
  <si>
    <t>2043616-6590530</t>
  </si>
  <si>
    <t>St John of Jerusalem Church of England Primary School</t>
  </si>
  <si>
    <t>2043618-5835029</t>
  </si>
  <si>
    <t>St Mary's Church of England Primary School, Stoke Newington</t>
  </si>
  <si>
    <t>2043659-8399795</t>
  </si>
  <si>
    <t>St Scholastica's Catholic Primary School</t>
  </si>
  <si>
    <t>2043663-7672164</t>
  </si>
  <si>
    <t>Simon Marks Jewish Primary School</t>
  </si>
  <si>
    <t>2043666-6469459</t>
  </si>
  <si>
    <t>Springfield Community Primary School</t>
  </si>
  <si>
    <t>2044283-5626999</t>
  </si>
  <si>
    <t>Haggerston School</t>
  </si>
  <si>
    <t>2044310-6944143</t>
  </si>
  <si>
    <t>Stoke Newington School and Sixth Form</t>
  </si>
  <si>
    <t>2044318-6773791</t>
  </si>
  <si>
    <t>Yesodey Hatorah Senior Girls School</t>
  </si>
  <si>
    <t>2044641-6824312</t>
  </si>
  <si>
    <t>Our Lady's Catholic High School</t>
  </si>
  <si>
    <t>2044697-6571007</t>
  </si>
  <si>
    <t>The Urswick School - A Church of England Secondary School</t>
  </si>
  <si>
    <t>2044714-7910754</t>
  </si>
  <si>
    <t>Cardinal Pole Catholic School</t>
  </si>
  <si>
    <t>Please select your DFE number</t>
  </si>
  <si>
    <t>Please enter your passcode</t>
  </si>
  <si>
    <t>Schools Block budget</t>
  </si>
  <si>
    <t>of which</t>
  </si>
  <si>
    <t>Notional SEN Budget</t>
  </si>
  <si>
    <t>Local Funding Formula (LFF)</t>
  </si>
  <si>
    <t>Units</t>
  </si>
  <si>
    <t>Rate</t>
  </si>
  <si>
    <t>Allocation</t>
  </si>
  <si>
    <t>Age Weighted Pupil Unit</t>
  </si>
  <si>
    <t>KS3</t>
  </si>
  <si>
    <t>Free School Meals</t>
  </si>
  <si>
    <t>Free School Meals Ever 6</t>
  </si>
  <si>
    <t>Income Deprivation Affecting Children Index</t>
  </si>
  <si>
    <t>IDACI Band F</t>
  </si>
  <si>
    <t>IDACI Band E</t>
  </si>
  <si>
    <t>IDACI Band D</t>
  </si>
  <si>
    <t>IDACI Band C</t>
  </si>
  <si>
    <t>IDACI Band B</t>
  </si>
  <si>
    <t>IDACI Band A</t>
  </si>
  <si>
    <t>English as an Additional Language</t>
  </si>
  <si>
    <t>Low Prior Attainment</t>
  </si>
  <si>
    <t>National Non Domestic Rates</t>
  </si>
  <si>
    <t>Total</t>
  </si>
  <si>
    <t>Minimum Funding Guarantee (MFG)</t>
  </si>
  <si>
    <t>2022/23 School Budget</t>
  </si>
  <si>
    <t>A</t>
  </si>
  <si>
    <t>2022/23 Schools Supplementary Grant</t>
  </si>
  <si>
    <t>B</t>
  </si>
  <si>
    <t>2022/23 National Non Domestic Rates</t>
  </si>
  <si>
    <t>C</t>
  </si>
  <si>
    <t>2023/24 Lump sum</t>
  </si>
  <si>
    <t>D</t>
  </si>
  <si>
    <t>2022/23 Baseline</t>
  </si>
  <si>
    <t>E</t>
  </si>
  <si>
    <t>=A+B-C-D</t>
  </si>
  <si>
    <t>2022/23 Pupil Number</t>
  </si>
  <si>
    <t>F</t>
  </si>
  <si>
    <t>2022/23 Baseline per pupil</t>
  </si>
  <si>
    <t>G</t>
  </si>
  <si>
    <t>=E/F</t>
  </si>
  <si>
    <t>2023/24 Protected baseline per pupil</t>
  </si>
  <si>
    <t>H</t>
  </si>
  <si>
    <t>=G*1.0017</t>
  </si>
  <si>
    <t>2023/24 Pupil Number</t>
  </si>
  <si>
    <t>I</t>
  </si>
  <si>
    <t>Protected baseline multiplied up by 2023/24 pupils</t>
  </si>
  <si>
    <t>J</t>
  </si>
  <si>
    <t>=H*I</t>
  </si>
  <si>
    <t>2023/24 National Non Domestic Rates</t>
  </si>
  <si>
    <t>K</t>
  </si>
  <si>
    <t>2023/24 Lump Sum</t>
  </si>
  <si>
    <t>L</t>
  </si>
  <si>
    <t>M</t>
  </si>
  <si>
    <t>=J+K+L</t>
  </si>
  <si>
    <t>Schools Block Budget (Greater of LFF or MFG)</t>
  </si>
  <si>
    <t>Pupils</t>
  </si>
  <si>
    <t>For School Contingencies</t>
  </si>
  <si>
    <t>For UPEG/bilingual learners</t>
  </si>
  <si>
    <t>Free school meals eligibility service</t>
  </si>
  <si>
    <t>Licences/subscriptions</t>
  </si>
  <si>
    <t>For Trade Union Supply Cover</t>
  </si>
  <si>
    <t>For School Improvement (SRAS)</t>
  </si>
  <si>
    <t>Total De-delegation</t>
  </si>
  <si>
    <t>Schools Block Budget After De-delegation</t>
  </si>
  <si>
    <t>Early Years Block Budget</t>
  </si>
  <si>
    <t>Illustration using 2022/23 activity levels and 2023/24 funding rates</t>
  </si>
  <si>
    <t>Total illustrative budget</t>
  </si>
  <si>
    <t>Pupil Number</t>
  </si>
  <si>
    <t>PTE (15 hours per week)</t>
  </si>
  <si>
    <t>Multiply by hours</t>
  </si>
  <si>
    <t>Multiply by weeks</t>
  </si>
  <si>
    <t>Multiply by rate</t>
  </si>
  <si>
    <t>Summer</t>
  </si>
  <si>
    <t>Autumn</t>
  </si>
  <si>
    <t>Spring</t>
  </si>
  <si>
    <t>Early Years Pupil Premium Qualifying Hours</t>
  </si>
  <si>
    <t>Disability Access Fund Qualifying Pupils</t>
  </si>
  <si>
    <t>High Needs Block Budget</t>
  </si>
  <si>
    <t>Element 2 place funding</t>
  </si>
  <si>
    <t>(only for schools with commissioned places)</t>
  </si>
  <si>
    <t>Academic year 2022/23 places</t>
  </si>
  <si>
    <t>Academic year 2023/24 places (overtype if necessary)</t>
  </si>
  <si>
    <t>Financial year 2023/24 average</t>
  </si>
  <si>
    <t>@ £6,000 per place</t>
  </si>
  <si>
    <t>Enter qualifying pupil numbers (pro rata if necessary)</t>
  </si>
  <si>
    <t>RP Top up</t>
  </si>
  <si>
    <t>Top up level 1</t>
  </si>
  <si>
    <t>Top up level 2</t>
  </si>
  <si>
    <t>Top up level 3</t>
  </si>
  <si>
    <t>Top up level 4</t>
  </si>
  <si>
    <t>Top up level 5</t>
  </si>
  <si>
    <t>Total Dedicated Schools Grant Funding</t>
  </si>
  <si>
    <t>Other Grants</t>
  </si>
  <si>
    <t>Notes</t>
  </si>
  <si>
    <t>Schools should populate the blue cells to complete the estimate of the grants listed</t>
  </si>
  <si>
    <t>These grants are calculated nationally by the ESFA who will then provide the allocations and funding in due course</t>
  </si>
  <si>
    <t>The calculations below reflect our current expectations, however the final allocations published by the ESFA could differ but will be final</t>
  </si>
  <si>
    <t>Additional information online</t>
  </si>
  <si>
    <t>Primary Pupils</t>
  </si>
  <si>
    <t>KS3 Pupils</t>
  </si>
  <si>
    <t>KS4 Pupils</t>
  </si>
  <si>
    <t>Primary FSM6</t>
  </si>
  <si>
    <t>Secondary FSM6</t>
  </si>
  <si>
    <t>Area Cost Adjustment</t>
  </si>
  <si>
    <t>Estimated Grant Total</t>
  </si>
  <si>
    <t>Pupil Premium</t>
  </si>
  <si>
    <t>Primary Ever6 FSM</t>
  </si>
  <si>
    <t>Secondary Ever6FSM</t>
  </si>
  <si>
    <t>Previously Looked After Children</t>
  </si>
  <si>
    <t>Universal Infant Free School Meal Grant</t>
  </si>
  <si>
    <t>Enter the number of pupils taking a school meal on the relevant census day who do not qualify for FSM</t>
  </si>
  <si>
    <t>This is an academic year grant and for the purposes of this template it is assumed the same process will apply in the 2023/24 academic year</t>
  </si>
  <si>
    <t>Reception Pupils</t>
  </si>
  <si>
    <t>Year 1 and 2 Pupils</t>
  </si>
  <si>
    <t>Academic year funded pupils 2022/23</t>
  </si>
  <si>
    <t>Year R</t>
  </si>
  <si>
    <t>Years 1 &amp; 2</t>
  </si>
  <si>
    <t>Academic year funded pupils 2023/24</t>
  </si>
  <si>
    <t>Academic year estimated funding 2022/23 @ £457.90</t>
  </si>
  <si>
    <t>Academic year estimated funding 2023/24 @ £457.90</t>
  </si>
  <si>
    <t>2023/24 Financial Year Estimated Grant</t>
  </si>
  <si>
    <t>Recovery Premium</t>
  </si>
  <si>
    <t>Already published allocation for 2022/23 academic year</t>
  </si>
  <si>
    <t>50% to be paid in 2023/24 financial year</t>
  </si>
  <si>
    <t>Assumed 2023/24 Rate (ESFA will confirm in due course)</t>
  </si>
  <si>
    <t>Subtotal</t>
  </si>
  <si>
    <t>Minimum Allocation</t>
  </si>
  <si>
    <t>Final Allocation</t>
  </si>
  <si>
    <t>2023/24 Financial year allocation</t>
  </si>
  <si>
    <t>PE and Sport Premium for Primary Schools</t>
  </si>
  <si>
    <t>Already published (5/12) allocation for 2022/23 academic year</t>
  </si>
  <si>
    <t>Estimate for 2023/24 academic year</t>
  </si>
  <si>
    <t>Pupil Led</t>
  </si>
  <si>
    <t>(7/12)</t>
  </si>
  <si>
    <t>School Sixth Form (including Bursary)</t>
  </si>
  <si>
    <t>Please enter school estimate</t>
  </si>
  <si>
    <t>School Led Tutoring Grant</t>
  </si>
  <si>
    <t>Summary</t>
  </si>
  <si>
    <t>Schools Block Funding</t>
  </si>
  <si>
    <t>I01</t>
  </si>
  <si>
    <t>Early Years Block Funding</t>
  </si>
  <si>
    <t>High Needs Block Funding</t>
  </si>
  <si>
    <t>I03</t>
  </si>
  <si>
    <t>Pupil premium</t>
  </si>
  <si>
    <t>I05</t>
  </si>
  <si>
    <t>I18D</t>
  </si>
  <si>
    <t>I18C</t>
  </si>
  <si>
    <t>Primary PE and Sport Grant</t>
  </si>
  <si>
    <t>I02</t>
  </si>
  <si>
    <t>Year 2 and Year 3 Indications</t>
  </si>
  <si>
    <t>The current MFG calculation has been largely unchanged for a number of years and is the primary driver of school budgets in Hackney</t>
  </si>
  <si>
    <t>However, school budgets in future years will be subject to further government announcements and are inherently uncertain</t>
  </si>
  <si>
    <t>This section recreates the current MFG calculation for the next two years to provide schools with an indicative income figure for their multi year budget</t>
  </si>
  <si>
    <t>October 2022 Roll</t>
  </si>
  <si>
    <t>This is in the current budget</t>
  </si>
  <si>
    <t>October 2023 Estimated Roll</t>
  </si>
  <si>
    <t>This defaults to the current budget but overtype if considered appropriate</t>
  </si>
  <si>
    <t>October 2024 Estimated Roll</t>
  </si>
  <si>
    <t>Estimated MFG uplift for 2024/25</t>
  </si>
  <si>
    <t>The 2023/24 rate is 0.17% but overtype if you consider appropriate</t>
  </si>
  <si>
    <t>Estimated MFG uplift for 2025/26</t>
  </si>
  <si>
    <t>Lump sum inflation per year</t>
  </si>
  <si>
    <t>This is illustrated at 3% but is a limited proportion of the budget</t>
  </si>
  <si>
    <t>NNDR inflation per year</t>
  </si>
  <si>
    <t>This is illustrated at 0% although the income will match the expenditure</t>
  </si>
  <si>
    <t>Minimum Funding Guarantee Illustration 2024/25</t>
  </si>
  <si>
    <t>2023/24 School Budget</t>
  </si>
  <si>
    <t>2023/24 Mainstream Schools Additional Grant</t>
  </si>
  <si>
    <t>2024/25 Lump sum</t>
  </si>
  <si>
    <t>2023/24 Baseline</t>
  </si>
  <si>
    <t>2023/24 Baseline per pupil</t>
  </si>
  <si>
    <t>2024/25 Protected baseline per pupil</t>
  </si>
  <si>
    <t>2024/25 Pupil Number</t>
  </si>
  <si>
    <t>Protected baseline multiplied up by 2024/25 pupils</t>
  </si>
  <si>
    <t>2024/25 National Non Domestic Rates</t>
  </si>
  <si>
    <t>2024/25 Lump Sum</t>
  </si>
  <si>
    <t>Minimum Funding Guarantee Illustration 2025/26</t>
  </si>
  <si>
    <t>2024/25 School Budget</t>
  </si>
  <si>
    <t>2025/26 Lump sum</t>
  </si>
  <si>
    <t>2024/25 Baseline</t>
  </si>
  <si>
    <t>=A-B-C</t>
  </si>
  <si>
    <t>2024/25 Baseline per pupil</t>
  </si>
  <si>
    <t>=D/E</t>
  </si>
  <si>
    <t>2025/26 Protected baseline per pupil</t>
  </si>
  <si>
    <t>2025/26 Pupil Number</t>
  </si>
  <si>
    <t>Protected baseline multiplied up by 2025/26 pupils</t>
  </si>
  <si>
    <t>=G*H</t>
  </si>
  <si>
    <t>2025/26 National Non Domestic Rates</t>
  </si>
  <si>
    <t>2025/26 Lump Sum</t>
  </si>
  <si>
    <t>=I+J+K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</si>
</sst>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£-809]#,##0.00"/>
    <numFmt numFmtId="165" formatCode="#,##0.0000000000"/>
    <numFmt numFmtId="166" formatCode="[$£-809]#,##0"/>
    <numFmt numFmtId="167" formatCode="0.0"/>
    <numFmt numFmtId="168" formatCode="&quot;£&quot;#,##0"/>
    <numFmt numFmtId="169" formatCode="mmmm\ yyyy"/>
    <numFmt numFmtId="170" formatCode="#,##0.0000"/>
  </numFmts>
  <fonts count="19"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Arial"/>
    </font>
    <font>
      <sz val="11"/>
      <color rgb="FF000000"/>
      <name val="Inconsolata"/>
    </font>
    <font>
      <sz val="9"/>
      <color rgb="FF000000"/>
      <name val="&quot;Google Sans Mono&quot;"/>
    </font>
    <font>
      <sz val="12"/>
      <color theme="1"/>
      <name val="Arial"/>
    </font>
    <font>
      <sz val="12"/>
      <color theme="0"/>
      <name val="Arial"/>
    </font>
    <font>
      <b/>
      <sz val="12"/>
      <color theme="1"/>
      <name val="Arial"/>
    </font>
    <font>
      <b/>
      <sz val="18"/>
      <color theme="1"/>
      <name val="Arial"/>
    </font>
    <font>
      <sz val="12"/>
      <color rgb="FF000000"/>
      <name val="Arial"/>
    </font>
    <font>
      <i/>
      <sz val="12"/>
      <color theme="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i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/>
    <xf numFmtId="1" fontId="1" fillId="0" borderId="0" xfId="0" applyNumberFormat="1" applyFont="1" applyAlignme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2" fillId="0" borderId="0" xfId="0" applyNumberFormat="1" applyFont="1"/>
    <xf numFmtId="3" fontId="1" fillId="0" borderId="0" xfId="0" applyNumberFormat="1" applyFont="1"/>
    <xf numFmtId="0" fontId="3" fillId="0" borderId="4" xfId="0" applyFont="1" applyBorder="1"/>
    <xf numFmtId="0" fontId="3" fillId="0" borderId="5" xfId="0" applyFont="1" applyBorder="1"/>
    <xf numFmtId="10" fontId="1" fillId="0" borderId="0" xfId="0" applyNumberFormat="1" applyFont="1"/>
    <xf numFmtId="0" fontId="4" fillId="0" borderId="0" xfId="0" applyFont="1" applyAlignment="1"/>
    <xf numFmtId="0" fontId="3" fillId="0" borderId="0" xfId="0" applyFont="1" applyAlignment="1"/>
    <xf numFmtId="165" fontId="1" fillId="0" borderId="0" xfId="0" applyNumberFormat="1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3" fontId="1" fillId="0" borderId="0" xfId="0" applyNumberFormat="1" applyFont="1" applyAlignment="1"/>
    <xf numFmtId="0" fontId="7" fillId="2" borderId="6" xfId="0" applyFont="1" applyFill="1" applyBorder="1"/>
    <xf numFmtId="164" fontId="1" fillId="0" borderId="4" xfId="0" applyNumberFormat="1" applyFont="1" applyBorder="1" applyAlignment="1"/>
    <xf numFmtId="164" fontId="1" fillId="0" borderId="0" xfId="0" applyNumberFormat="1" applyFont="1" applyAlignment="1"/>
    <xf numFmtId="164" fontId="1" fillId="0" borderId="5" xfId="0" applyNumberFormat="1" applyFont="1" applyBorder="1" applyAlignment="1"/>
    <xf numFmtId="49" fontId="1" fillId="0" borderId="0" xfId="0" applyNumberFormat="1" applyFont="1"/>
    <xf numFmtId="1" fontId="1" fillId="0" borderId="0" xfId="0" applyNumberFormat="1" applyFont="1"/>
    <xf numFmtId="3" fontId="8" fillId="2" borderId="0" xfId="0" applyNumberFormat="1" applyFont="1" applyFill="1"/>
    <xf numFmtId="3" fontId="8" fillId="2" borderId="0" xfId="0" applyNumberFormat="1" applyFont="1" applyFill="1" applyAlignment="1"/>
    <xf numFmtId="49" fontId="1" fillId="0" borderId="0" xfId="0" applyNumberFormat="1" applyFont="1" applyAlignment="1"/>
    <xf numFmtId="164" fontId="1" fillId="0" borderId="7" xfId="0" applyNumberFormat="1" applyFont="1" applyBorder="1" applyAlignment="1"/>
    <xf numFmtId="164" fontId="1" fillId="0" borderId="8" xfId="0" applyNumberFormat="1" applyFont="1" applyBorder="1" applyAlignment="1"/>
    <xf numFmtId="164" fontId="1" fillId="0" borderId="9" xfId="0" applyNumberFormat="1" applyFont="1" applyBorder="1" applyAlignment="1"/>
    <xf numFmtId="0" fontId="9" fillId="0" borderId="0" xfId="0" applyFont="1" applyProtection="1"/>
    <xf numFmtId="0" fontId="0" fillId="0" borderId="0" xfId="0" applyFont="1" applyAlignment="1" applyProtection="1"/>
    <xf numFmtId="0" fontId="10" fillId="0" borderId="6" xfId="0" applyFont="1" applyBorder="1" applyProtection="1"/>
    <xf numFmtId="0" fontId="11" fillId="0" borderId="0" xfId="0" applyFont="1" applyProtection="1"/>
    <xf numFmtId="0" fontId="9" fillId="0" borderId="0" xfId="0" applyFont="1" applyAlignment="1" applyProtection="1"/>
    <xf numFmtId="0" fontId="12" fillId="0" borderId="0" xfId="0" applyFont="1" applyProtection="1"/>
    <xf numFmtId="0" fontId="9" fillId="0" borderId="11" xfId="0" applyFont="1" applyBorder="1" applyAlignment="1" applyProtection="1"/>
    <xf numFmtId="0" fontId="11" fillId="0" borderId="1" xfId="0" applyFont="1" applyBorder="1" applyProtection="1"/>
    <xf numFmtId="0" fontId="9" fillId="0" borderId="2" xfId="0" applyFont="1" applyBorder="1" applyProtection="1"/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5" xfId="0" applyFont="1" applyBorder="1" applyProtection="1"/>
    <xf numFmtId="0" fontId="11" fillId="0" borderId="4" xfId="0" applyFont="1" applyBorder="1" applyProtection="1"/>
    <xf numFmtId="0" fontId="11" fillId="0" borderId="5" xfId="0" applyFont="1" applyBorder="1" applyProtection="1"/>
    <xf numFmtId="2" fontId="13" fillId="2" borderId="6" xfId="0" applyNumberFormat="1" applyFont="1" applyFill="1" applyBorder="1" applyProtection="1"/>
    <xf numFmtId="164" fontId="9" fillId="0" borderId="0" xfId="0" applyNumberFormat="1" applyFont="1" applyProtection="1"/>
    <xf numFmtId="166" fontId="9" fillId="0" borderId="5" xfId="0" applyNumberFormat="1" applyFont="1" applyBorder="1" applyProtection="1"/>
    <xf numFmtId="9" fontId="9" fillId="0" borderId="4" xfId="0" applyNumberFormat="1" applyFont="1" applyBorder="1" applyProtection="1"/>
    <xf numFmtId="0" fontId="9" fillId="0" borderId="4" xfId="0" applyFont="1" applyBorder="1" applyAlignment="1" applyProtection="1"/>
    <xf numFmtId="0" fontId="9" fillId="0" borderId="7" xfId="0" applyFont="1" applyBorder="1" applyProtection="1"/>
    <xf numFmtId="166" fontId="11" fillId="4" borderId="9" xfId="0" applyNumberFormat="1" applyFont="1" applyFill="1" applyBorder="1" applyProtection="1"/>
    <xf numFmtId="0" fontId="11" fillId="0" borderId="1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right"/>
    </xf>
    <xf numFmtId="0" fontId="11" fillId="0" borderId="4" xfId="0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right"/>
    </xf>
    <xf numFmtId="0" fontId="11" fillId="0" borderId="5" xfId="0" quotePrefix="1" applyFont="1" applyBorder="1" applyAlignment="1" applyProtection="1">
      <alignment horizontal="right"/>
    </xf>
    <xf numFmtId="0" fontId="13" fillId="2" borderId="12" xfId="0" applyFont="1" applyFill="1" applyBorder="1" applyProtection="1"/>
    <xf numFmtId="0" fontId="11" fillId="0" borderId="7" xfId="0" applyFont="1" applyBorder="1" applyAlignment="1" applyProtection="1">
      <alignment horizontal="right"/>
    </xf>
    <xf numFmtId="0" fontId="11" fillId="0" borderId="9" xfId="0" quotePrefix="1" applyFont="1" applyBorder="1" applyAlignment="1" applyProtection="1">
      <alignment horizontal="right"/>
    </xf>
    <xf numFmtId="0" fontId="13" fillId="0" borderId="4" xfId="0" applyFont="1" applyBorder="1" applyProtection="1"/>
    <xf numFmtId="2" fontId="9" fillId="0" borderId="0" xfId="0" applyNumberFormat="1" applyFont="1" applyProtection="1"/>
    <xf numFmtId="164" fontId="9" fillId="0" borderId="5" xfId="0" applyNumberFormat="1" applyFont="1" applyBorder="1" applyProtection="1"/>
    <xf numFmtId="164" fontId="9" fillId="0" borderId="0" xfId="0" applyNumberFormat="1" applyFont="1" applyAlignment="1" applyProtection="1"/>
    <xf numFmtId="0" fontId="11" fillId="0" borderId="7" xfId="0" applyFont="1" applyBorder="1" applyProtection="1"/>
    <xf numFmtId="0" fontId="9" fillId="0" borderId="8" xfId="0" applyFont="1" applyBorder="1" applyProtection="1"/>
    <xf numFmtId="0" fontId="14" fillId="5" borderId="4" xfId="0" applyFont="1" applyFill="1" applyBorder="1" applyAlignment="1" applyProtection="1"/>
    <xf numFmtId="0" fontId="14" fillId="5" borderId="0" xfId="0" applyFont="1" applyFill="1" applyProtection="1"/>
    <xf numFmtId="0" fontId="14" fillId="5" borderId="5" xfId="0" applyFont="1" applyFill="1" applyBorder="1" applyProtection="1"/>
    <xf numFmtId="0" fontId="14" fillId="5" borderId="4" xfId="0" applyFont="1" applyFill="1" applyBorder="1" applyProtection="1"/>
    <xf numFmtId="0" fontId="14" fillId="5" borderId="0" xfId="0" applyFont="1" applyFill="1" applyAlignment="1" applyProtection="1"/>
    <xf numFmtId="164" fontId="14" fillId="5" borderId="0" xfId="0" applyNumberFormat="1" applyFont="1" applyFill="1" applyProtection="1"/>
    <xf numFmtId="164" fontId="14" fillId="5" borderId="5" xfId="0" applyNumberFormat="1" applyFont="1" applyFill="1" applyBorder="1" applyProtection="1"/>
    <xf numFmtId="0" fontId="9" fillId="0" borderId="6" xfId="0" applyFont="1" applyBorder="1" applyProtection="1"/>
    <xf numFmtId="166" fontId="11" fillId="0" borderId="9" xfId="0" applyNumberFormat="1" applyFont="1" applyBorder="1" applyProtection="1"/>
    <xf numFmtId="0" fontId="1" fillId="0" borderId="4" xfId="0" applyFont="1" applyBorder="1" applyProtection="1"/>
    <xf numFmtId="167" fontId="9" fillId="0" borderId="0" xfId="0" applyNumberFormat="1" applyFont="1" applyAlignment="1" applyProtection="1">
      <alignment horizontal="center"/>
    </xf>
    <xf numFmtId="0" fontId="1" fillId="0" borderId="5" xfId="0" applyFont="1" applyBorder="1" applyAlignment="1" applyProtection="1"/>
    <xf numFmtId="168" fontId="9" fillId="0" borderId="5" xfId="0" applyNumberFormat="1" applyFont="1" applyBorder="1" applyAlignment="1" applyProtection="1">
      <alignment horizontal="right"/>
    </xf>
    <xf numFmtId="166" fontId="9" fillId="0" borderId="6" xfId="0" applyNumberFormat="1" applyFont="1" applyBorder="1" applyProtection="1"/>
    <xf numFmtId="0" fontId="11" fillId="0" borderId="14" xfId="0" applyFont="1" applyBorder="1" applyProtection="1"/>
    <xf numFmtId="0" fontId="9" fillId="0" borderId="15" xfId="0" applyFont="1" applyBorder="1" applyProtection="1"/>
    <xf numFmtId="166" fontId="11" fillId="0" borderId="13" xfId="0" applyNumberFormat="1" applyFont="1" applyBorder="1" applyProtection="1"/>
    <xf numFmtId="0" fontId="9" fillId="0" borderId="9" xfId="0" applyFont="1" applyBorder="1" applyProtection="1"/>
    <xf numFmtId="0" fontId="15" fillId="0" borderId="4" xfId="0" applyFont="1" applyBorder="1" applyProtection="1"/>
    <xf numFmtId="166" fontId="9" fillId="0" borderId="0" xfId="0" applyNumberFormat="1" applyFont="1" applyProtection="1"/>
    <xf numFmtId="0" fontId="13" fillId="2" borderId="6" xfId="0" applyFont="1" applyFill="1" applyBorder="1" applyProtection="1"/>
    <xf numFmtId="0" fontId="11" fillId="0" borderId="8" xfId="0" applyFont="1" applyBorder="1" applyProtection="1"/>
    <xf numFmtId="166" fontId="9" fillId="0" borderId="8" xfId="0" applyNumberFormat="1" applyFont="1" applyBorder="1" applyProtection="1"/>
    <xf numFmtId="169" fontId="9" fillId="0" borderId="0" xfId="0" applyNumberFormat="1" applyFont="1" applyProtection="1"/>
    <xf numFmtId="164" fontId="11" fillId="0" borderId="9" xfId="0" applyNumberFormat="1" applyFont="1" applyBorder="1" applyProtection="1"/>
    <xf numFmtId="0" fontId="9" fillId="0" borderId="16" xfId="0" applyFont="1" applyBorder="1" applyAlignment="1" applyProtection="1"/>
    <xf numFmtId="0" fontId="9" fillId="0" borderId="12" xfId="0" applyFont="1" applyBorder="1" applyProtection="1"/>
    <xf numFmtId="0" fontId="16" fillId="0" borderId="7" xfId="0" applyFont="1" applyBorder="1" applyProtection="1"/>
    <xf numFmtId="0" fontId="14" fillId="0" borderId="0" xfId="0" applyFont="1" applyAlignment="1" applyProtection="1"/>
    <xf numFmtId="0" fontId="11" fillId="0" borderId="1" xfId="0" applyFont="1" applyBorder="1" applyAlignment="1" applyProtection="1"/>
    <xf numFmtId="0" fontId="17" fillId="0" borderId="0" xfId="0" applyFont="1" applyAlignment="1" applyProtection="1"/>
    <xf numFmtId="1" fontId="9" fillId="0" borderId="5" xfId="0" applyNumberFormat="1" applyFont="1" applyBorder="1" applyProtection="1"/>
    <xf numFmtId="0" fontId="18" fillId="0" borderId="0" xfId="0" applyFont="1" applyProtection="1"/>
    <xf numFmtId="170" fontId="10" fillId="0" borderId="0" xfId="0" applyNumberFormat="1" applyFont="1" applyProtection="1"/>
    <xf numFmtId="0" fontId="17" fillId="0" borderId="0" xfId="0" applyFont="1" applyProtection="1"/>
    <xf numFmtId="10" fontId="9" fillId="0" borderId="5" xfId="0" applyNumberFormat="1" applyFont="1" applyBorder="1" applyAlignment="1" applyProtection="1"/>
    <xf numFmtId="0" fontId="11" fillId="0" borderId="4" xfId="0" applyFont="1" applyBorder="1" applyAlignment="1" applyProtection="1"/>
    <xf numFmtId="1" fontId="13" fillId="0" borderId="5" xfId="0" applyNumberFormat="1" applyFont="1" applyBorder="1" applyProtection="1"/>
    <xf numFmtId="0" fontId="9" fillId="3" borderId="10" xfId="0" applyFont="1" applyFill="1" applyBorder="1" applyAlignment="1" applyProtection="1">
      <alignment horizontal="center"/>
      <protection locked="0"/>
    </xf>
    <xf numFmtId="3" fontId="9" fillId="3" borderId="10" xfId="0" applyNumberFormat="1" applyFont="1" applyFill="1" applyBorder="1" applyAlignment="1" applyProtection="1">
      <alignment horizontal="center"/>
      <protection locked="0"/>
    </xf>
    <xf numFmtId="166" fontId="11" fillId="0" borderId="5" xfId="0" applyNumberFormat="1" applyFont="1" applyFill="1" applyBorder="1" applyProtection="1"/>
    <xf numFmtId="0" fontId="9" fillId="0" borderId="5" xfId="0" applyFont="1" applyFill="1" applyBorder="1" applyProtection="1"/>
    <xf numFmtId="166" fontId="11" fillId="0" borderId="9" xfId="0" applyNumberFormat="1" applyFont="1" applyFill="1" applyBorder="1" applyProtection="1"/>
    <xf numFmtId="0" fontId="9" fillId="0" borderId="0" xfId="0" applyFont="1" applyFill="1" applyProtection="1"/>
    <xf numFmtId="0" fontId="9" fillId="0" borderId="3" xfId="0" applyFont="1" applyFill="1" applyBorder="1" applyProtection="1"/>
    <xf numFmtId="164" fontId="9" fillId="0" borderId="12" xfId="0" applyNumberFormat="1" applyFont="1" applyFill="1" applyBorder="1" applyProtection="1"/>
    <xf numFmtId="164" fontId="11" fillId="0" borderId="12" xfId="0" applyNumberFormat="1" applyFont="1" applyFill="1" applyBorder="1" applyProtection="1"/>
    <xf numFmtId="0" fontId="9" fillId="0" borderId="0" xfId="0" applyFont="1" applyFill="1" applyAlignment="1" applyProtection="1">
      <alignment horizontal="center"/>
    </xf>
    <xf numFmtId="168" fontId="9" fillId="3" borderId="13" xfId="0" applyNumberFormat="1" applyFont="1" applyFill="1" applyBorder="1" applyAlignment="1" applyProtection="1">
      <alignment horizontal="center"/>
      <protection locked="0"/>
    </xf>
    <xf numFmtId="166" fontId="9" fillId="0" borderId="0" xfId="0" applyNumberFormat="1" applyFont="1" applyFill="1" applyProtection="1"/>
    <xf numFmtId="166" fontId="11" fillId="3" borderId="17" xfId="0" applyNumberFormat="1" applyFont="1" applyFill="1" applyBorder="1" applyAlignment="1" applyProtection="1">
      <alignment horizontal="center"/>
      <protection locked="0"/>
    </xf>
    <xf numFmtId="166" fontId="11" fillId="3" borderId="10" xfId="0" applyNumberFormat="1" applyFont="1" applyFill="1" applyBorder="1" applyAlignment="1" applyProtection="1">
      <alignment horizontal="center"/>
      <protection locked="0"/>
    </xf>
    <xf numFmtId="1" fontId="9" fillId="3" borderId="10" xfId="0" applyNumberFormat="1" applyFont="1" applyFill="1" applyBorder="1" applyAlignment="1" applyProtection="1">
      <alignment horizontal="center"/>
      <protection locked="0"/>
    </xf>
    <xf numFmtId="10" fontId="9" fillId="3" borderId="1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universal-infant-free-school-meals-uifsm-2022-to-202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ov.uk/government/publications/pupil-premium/pupil-premium" TargetMode="External"/><Relationship Id="rId1" Type="http://schemas.openxmlformats.org/officeDocument/2006/relationships/hyperlink" Target="https://www.gov.uk/government/publications/mainstream-schools-additional-grant-2023-to-2024" TargetMode="External"/><Relationship Id="rId6" Type="http://schemas.openxmlformats.org/officeDocument/2006/relationships/hyperlink" Target="https://www.gov.uk/government/publications/school-led-tutoring-conditions-of-grant/school-led-tutoring-conditions-of-grant" TargetMode="External"/><Relationship Id="rId5" Type="http://schemas.openxmlformats.org/officeDocument/2006/relationships/hyperlink" Target="https://www.gov.uk/guidance/pe-and-sport-premium-for-primary-schools" TargetMode="External"/><Relationship Id="rId4" Type="http://schemas.openxmlformats.org/officeDocument/2006/relationships/hyperlink" Target="https://www.gov.uk/government/publications/recovery-premium-funding/recovery-premium-fund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FO967"/>
  <sheetViews>
    <sheetView workbookViewId="0"/>
  </sheetViews>
  <sheetFormatPr defaultColWidth="14.453125" defaultRowHeight="15" customHeight="1" outlineLevelCol="1"/>
  <cols>
    <col min="1" max="1" width="16.54296875" customWidth="1"/>
    <col min="2" max="2" width="7.54296875" customWidth="1"/>
    <col min="3" max="3" width="8.54296875" customWidth="1"/>
    <col min="4" max="4" width="30.1796875" customWidth="1" collapsed="1"/>
    <col min="5" max="5" width="5.453125" hidden="1" customWidth="1" outlineLevel="1"/>
    <col min="6" max="6" width="12.1796875" hidden="1" customWidth="1" outlineLevel="1"/>
    <col min="7" max="7" width="14" hidden="1" customWidth="1" outlineLevel="1"/>
    <col min="8" max="8" width="9.26953125" hidden="1" customWidth="1" outlineLevel="1"/>
    <col min="9" max="9" width="14.453125" hidden="1" outlineLevel="1"/>
    <col min="10" max="11" width="8.54296875" hidden="1" customWidth="1" outlineLevel="1"/>
    <col min="12" max="12" width="19" hidden="1" customWidth="1" outlineLevel="1"/>
    <col min="13" max="13" width="15.453125" customWidth="1" collapsed="1"/>
    <col min="14" max="14" width="21.54296875" hidden="1" customWidth="1" outlineLevel="1"/>
    <col min="15" max="15" width="23.81640625" hidden="1" customWidth="1" outlineLevel="1"/>
    <col min="16" max="16" width="16.81640625" hidden="1" customWidth="1" outlineLevel="1"/>
    <col min="17" max="17" width="19.1796875" hidden="1" customWidth="1" outlineLevel="1"/>
    <col min="18" max="18" width="13.26953125" customWidth="1" collapsed="1"/>
    <col min="19" max="19" width="22.7265625" hidden="1" customWidth="1" outlineLevel="1"/>
    <col min="20" max="20" width="24.81640625" hidden="1" customWidth="1" outlineLevel="1"/>
    <col min="21" max="21" width="18" hidden="1" customWidth="1" outlineLevel="1"/>
    <col min="22" max="22" width="20.1796875" hidden="1" customWidth="1" outlineLevel="1"/>
    <col min="23" max="23" width="14.453125" collapsed="1"/>
    <col min="24" max="25" width="28.81640625" hidden="1" customWidth="1" outlineLevel="1"/>
    <col min="26" max="26" width="29.1796875" hidden="1" customWidth="1" outlineLevel="1"/>
    <col min="27" max="28" width="29" hidden="1" customWidth="1" outlineLevel="1"/>
    <col min="29" max="29" width="29.1796875" hidden="1" customWidth="1" outlineLevel="1"/>
    <col min="30" max="30" width="24" hidden="1" customWidth="1" outlineLevel="1"/>
    <col min="31" max="31" width="24.1796875" hidden="1" customWidth="1" outlineLevel="1"/>
    <col min="32" max="32" width="24.453125" hidden="1" customWidth="1" outlineLevel="1"/>
    <col min="33" max="35" width="24.26953125" hidden="1" customWidth="1" outlineLevel="1"/>
    <col min="36" max="37" width="23.7265625" hidden="1" customWidth="1" outlineLevel="1"/>
    <col min="38" max="38" width="24" hidden="1" customWidth="1" outlineLevel="1"/>
    <col min="39" max="41" width="23.81640625" hidden="1" customWidth="1" outlineLevel="1"/>
    <col min="42" max="47" width="14.453125" hidden="1" outlineLevel="1"/>
    <col min="48" max="49" width="26.26953125" hidden="1" customWidth="1" outlineLevel="1"/>
    <col min="50" max="50" width="26.54296875" hidden="1" customWidth="1" outlineLevel="1"/>
    <col min="51" max="52" width="26.453125" hidden="1" customWidth="1" outlineLevel="1"/>
    <col min="53" max="53" width="26.54296875" hidden="1" customWidth="1" outlineLevel="1"/>
    <col min="54" max="54" width="25.81640625" hidden="1" customWidth="1" outlineLevel="1"/>
    <col min="55" max="55" width="26" hidden="1" customWidth="1" outlineLevel="1"/>
    <col min="56" max="56" width="26.1796875" hidden="1" customWidth="1" outlineLevel="1"/>
    <col min="57" max="58" width="26" hidden="1" customWidth="1" outlineLevel="1"/>
    <col min="59" max="59" width="26.1796875" hidden="1" customWidth="1" outlineLevel="1"/>
    <col min="60" max="60" width="13.26953125" customWidth="1" collapsed="1"/>
    <col min="61" max="61" width="22.54296875" hidden="1" customWidth="1" outlineLevel="1"/>
    <col min="62" max="62" width="24.7265625" hidden="1" customWidth="1" outlineLevel="1"/>
    <col min="63" max="63" width="17.81640625" hidden="1" customWidth="1" outlineLevel="1"/>
    <col min="64" max="64" width="20" hidden="1" customWidth="1" outlineLevel="1"/>
    <col min="65" max="65" width="13.26953125" customWidth="1" collapsed="1"/>
    <col min="66" max="66" width="44.1796875" hidden="1" customWidth="1" outlineLevel="1"/>
    <col min="67" max="67" width="12.7265625" hidden="1" customWidth="1" outlineLevel="1"/>
    <col min="68" max="72" width="13.26953125" hidden="1" customWidth="1" outlineLevel="1"/>
    <col min="73" max="75" width="42" hidden="1" customWidth="1" outlineLevel="1"/>
    <col min="76" max="77" width="43" hidden="1" customWidth="1" outlineLevel="1"/>
    <col min="78" max="78" width="19.7265625" hidden="1" customWidth="1" outlineLevel="1"/>
    <col min="79" max="79" width="14.81640625" hidden="1" customWidth="1" outlineLevel="1"/>
    <col min="80" max="80" width="14.453125" collapsed="1"/>
    <col min="81" max="81" width="25" hidden="1" customWidth="1" outlineLevel="1"/>
    <col min="82" max="82" width="27.26953125" hidden="1" customWidth="1" outlineLevel="1"/>
    <col min="83" max="83" width="12.7265625" hidden="1" customWidth="1" outlineLevel="1"/>
    <col min="84" max="84" width="14.81640625" hidden="1" customWidth="1" outlineLevel="1"/>
    <col min="85" max="85" width="11.7265625" customWidth="1"/>
    <col min="87" max="87" width="13.26953125" customWidth="1" collapsed="1"/>
    <col min="88" max="88" width="13.54296875" hidden="1" customWidth="1" outlineLevel="1"/>
    <col min="89" max="89" width="9.54296875" customWidth="1" collapsed="1"/>
    <col min="90" max="90" width="12.7265625" hidden="1" customWidth="1" outlineLevel="1"/>
    <col min="91" max="91" width="20.7265625" hidden="1" customWidth="1" outlineLevel="1"/>
    <col min="92" max="92" width="10.81640625" hidden="1" customWidth="1" outlineLevel="1"/>
    <col min="93" max="93" width="11" hidden="1" customWidth="1" outlineLevel="1"/>
    <col min="94" max="94" width="13.7265625" hidden="1" customWidth="1" outlineLevel="1"/>
    <col min="95" max="96" width="13.26953125" hidden="1" customWidth="1" outlineLevel="1"/>
    <col min="97" max="97" width="17.54296875" hidden="1" customWidth="1" outlineLevel="1"/>
    <col min="98" max="98" width="12.54296875" hidden="1" customWidth="1" outlineLevel="1"/>
    <col min="99" max="99" width="10.81640625" hidden="1" customWidth="1" outlineLevel="1"/>
    <col min="100" max="100" width="11" hidden="1" customWidth="1" outlineLevel="1"/>
    <col min="101" max="101" width="12.26953125" hidden="1" customWidth="1" outlineLevel="1"/>
    <col min="103" max="103" width="15.453125" customWidth="1" collapsed="1"/>
    <col min="104" max="104" width="10.1796875" hidden="1" customWidth="1" outlineLevel="1"/>
    <col min="105" max="105" width="43.1796875" hidden="1" customWidth="1" outlineLevel="1"/>
    <col min="106" max="106" width="49.7265625" hidden="1" customWidth="1" outlineLevel="1"/>
    <col min="107" max="107" width="51" hidden="1" customWidth="1" outlineLevel="1"/>
    <col min="108" max="108" width="39.453125" hidden="1" customWidth="1" outlineLevel="1"/>
    <col min="109" max="109" width="46.26953125" hidden="1" customWidth="1" outlineLevel="1"/>
    <col min="110" max="110" width="50.1796875" hidden="1" customWidth="1" outlineLevel="1"/>
    <col min="113" max="113" width="4.26953125" customWidth="1"/>
    <col min="114" max="119" width="28.81640625" customWidth="1"/>
    <col min="120" max="120" width="23.1796875" customWidth="1"/>
    <col min="121" max="121" width="22.26953125" customWidth="1"/>
    <col min="122" max="122" width="9.54296875" customWidth="1"/>
    <col min="123" max="123" width="8.54296875" customWidth="1"/>
    <col min="124" max="124" width="10.81640625" customWidth="1"/>
    <col min="125" max="127" width="8.7265625" customWidth="1"/>
    <col min="128" max="128" width="10.1796875" bestFit="1" customWidth="1"/>
    <col min="129" max="129" width="9.1796875" bestFit="1" customWidth="1"/>
    <col min="130" max="130" width="11.54296875" bestFit="1" customWidth="1"/>
    <col min="131" max="131" width="10.1796875" bestFit="1" customWidth="1"/>
    <col min="132" max="132" width="6.54296875" bestFit="1" customWidth="1"/>
    <col min="133" max="133" width="10.1796875" bestFit="1" customWidth="1"/>
    <col min="134" max="136" width="5.7265625" bestFit="1" customWidth="1"/>
    <col min="137" max="140" width="6.7265625" bestFit="1" customWidth="1"/>
    <col min="141" max="142" width="7.54296875" bestFit="1" customWidth="1"/>
    <col min="143" max="143" width="6.7265625" bestFit="1" customWidth="1"/>
    <col min="144" max="145" width="10.1796875" bestFit="1" customWidth="1"/>
    <col min="146" max="146" width="16" customWidth="1"/>
    <col min="147" max="147" width="12.26953125" customWidth="1"/>
    <col min="148" max="148" width="11.7265625" customWidth="1"/>
    <col min="149" max="149" width="12.7265625" customWidth="1"/>
    <col min="150" max="150" width="13.1796875" customWidth="1"/>
    <col min="151" max="151" width="25" customWidth="1"/>
    <col min="152" max="152" width="12" customWidth="1"/>
    <col min="153" max="153" width="11.7265625" customWidth="1"/>
    <col min="154" max="154" width="12.54296875" customWidth="1"/>
    <col min="155" max="155" width="11.26953125" customWidth="1"/>
    <col min="156" max="156" width="12.1796875" customWidth="1"/>
    <col min="157" max="157" width="12" customWidth="1"/>
    <col min="158" max="158" width="9.54296875" customWidth="1"/>
    <col min="159" max="159" width="32.81640625" customWidth="1"/>
    <col min="160" max="160" width="31.453125" customWidth="1"/>
    <col min="161" max="161" width="22.453125" customWidth="1"/>
    <col min="162" max="163" width="10.81640625" customWidth="1"/>
    <col min="164" max="164" width="5.81640625" customWidth="1"/>
    <col min="165" max="165" width="8.54296875" customWidth="1"/>
    <col min="166" max="167" width="13.54296875" customWidth="1"/>
    <col min="168" max="168" width="12" customWidth="1"/>
    <col min="169" max="169" width="10.81640625" customWidth="1"/>
    <col min="170" max="170" width="21.54296875" customWidth="1"/>
    <col min="171" max="171" width="5.81640625" customWidth="1"/>
  </cols>
  <sheetData>
    <row r="1" spans="1:171">
      <c r="M1" s="1">
        <f t="shared" ref="M1:W1" si="0">SUM(M7:M62)</f>
        <v>97004883</v>
      </c>
      <c r="N1" s="2">
        <f t="shared" si="0"/>
        <v>20.874799932693147</v>
      </c>
      <c r="O1" s="2">
        <f t="shared" si="0"/>
        <v>2.471369788063106</v>
      </c>
      <c r="P1" s="2">
        <f t="shared" si="0"/>
        <v>5599</v>
      </c>
      <c r="Q1" s="2">
        <f t="shared" si="0"/>
        <v>2049.0000000000014</v>
      </c>
      <c r="R1" s="1">
        <f t="shared" si="0"/>
        <v>4364560.6399999997</v>
      </c>
      <c r="S1" s="2">
        <f t="shared" si="0"/>
        <v>21.400290084974912</v>
      </c>
      <c r="T1" s="2">
        <f t="shared" si="0"/>
        <v>2.7099842092902566</v>
      </c>
      <c r="U1" s="2">
        <f t="shared" si="0"/>
        <v>5734.9999999999991</v>
      </c>
      <c r="V1" s="2">
        <f t="shared" si="0"/>
        <v>2258.0000000000005</v>
      </c>
      <c r="W1" s="1">
        <f t="shared" si="0"/>
        <v>7572143.8699999992</v>
      </c>
      <c r="AD1" s="2">
        <f t="shared" ref="AD1:AO1" si="1">SUM(AD7:AD62)</f>
        <v>2050.2358808439071</v>
      </c>
      <c r="AE1" s="2">
        <f t="shared" si="1"/>
        <v>2762.5960999740869</v>
      </c>
      <c r="AF1" s="2">
        <f t="shared" si="1"/>
        <v>2057.6580973445098</v>
      </c>
      <c r="AG1" s="2">
        <f t="shared" si="1"/>
        <v>2162.3240559633946</v>
      </c>
      <c r="AH1" s="2">
        <f t="shared" si="1"/>
        <v>2781.7675903941899</v>
      </c>
      <c r="AI1" s="2">
        <f t="shared" si="1"/>
        <v>434.59181680137243</v>
      </c>
      <c r="AJ1" s="1">
        <f t="shared" si="1"/>
        <v>560637.00161676633</v>
      </c>
      <c r="AK1" s="1">
        <f t="shared" si="1"/>
        <v>919668.24168137321</v>
      </c>
      <c r="AL1" s="1">
        <f t="shared" si="1"/>
        <v>1076402.1038828597</v>
      </c>
      <c r="AM1" s="1">
        <f t="shared" si="1"/>
        <v>1233995.0922571903</v>
      </c>
      <c r="AN1" s="1">
        <f t="shared" si="1"/>
        <v>1686724.7784355169</v>
      </c>
      <c r="AO1" s="1">
        <f t="shared" si="1"/>
        <v>346187.14942763734</v>
      </c>
      <c r="AV1" s="2">
        <f t="shared" ref="AV1:CY1" si="2">SUM(AV7:AV62)</f>
        <v>635.5492571041857</v>
      </c>
      <c r="AW1" s="2">
        <f t="shared" si="2"/>
        <v>889.66596274342737</v>
      </c>
      <c r="AX1" s="2">
        <f t="shared" si="2"/>
        <v>596.35049909063923</v>
      </c>
      <c r="AY1" s="2">
        <f t="shared" si="2"/>
        <v>674.44886314886389</v>
      </c>
      <c r="AZ1" s="2">
        <f t="shared" si="2"/>
        <v>741.5572356058268</v>
      </c>
      <c r="BA1" s="2">
        <f t="shared" si="2"/>
        <v>126.09465894465899</v>
      </c>
      <c r="BB1" s="1">
        <f t="shared" si="2"/>
        <v>253132.91361202608</v>
      </c>
      <c r="BC1" s="1">
        <f t="shared" si="2"/>
        <v>470695.57090866519</v>
      </c>
      <c r="BD1" s="1">
        <f t="shared" si="2"/>
        <v>439587.84339468292</v>
      </c>
      <c r="BE1" s="1">
        <f t="shared" si="2"/>
        <v>545271.67238996201</v>
      </c>
      <c r="BF1" s="1">
        <f t="shared" si="2"/>
        <v>643604.94035465317</v>
      </c>
      <c r="BG1" s="1">
        <f t="shared" si="2"/>
        <v>139422.86439510944</v>
      </c>
      <c r="BH1" s="1">
        <f t="shared" si="2"/>
        <v>8315330.1723564453</v>
      </c>
      <c r="BI1" s="2">
        <f t="shared" si="2"/>
        <v>11.813847639018846</v>
      </c>
      <c r="BJ1" s="2">
        <f t="shared" si="2"/>
        <v>0.22134176674437239</v>
      </c>
      <c r="BK1" s="2">
        <f t="shared" si="2"/>
        <v>3259.8110537822918</v>
      </c>
      <c r="BL1" s="2">
        <f t="shared" si="2"/>
        <v>145.33556871537581</v>
      </c>
      <c r="BM1" s="1">
        <f t="shared" si="2"/>
        <v>2518287.9876426067</v>
      </c>
      <c r="BN1" s="2">
        <f t="shared" si="2"/>
        <v>12.953383034205245</v>
      </c>
      <c r="BO1" s="2">
        <f t="shared" si="2"/>
        <v>3556.3154214386641</v>
      </c>
      <c r="BP1" s="2">
        <f t="shared" si="2"/>
        <v>915</v>
      </c>
      <c r="BQ1" s="2">
        <f t="shared" si="2"/>
        <v>922</v>
      </c>
      <c r="BR1" s="2">
        <f t="shared" si="2"/>
        <v>978</v>
      </c>
      <c r="BS1" s="2">
        <f t="shared" si="2"/>
        <v>987</v>
      </c>
      <c r="BT1" s="2">
        <f t="shared" si="2"/>
        <v>895</v>
      </c>
      <c r="BU1" s="2">
        <f t="shared" si="2"/>
        <v>1.8537623165248989</v>
      </c>
      <c r="BV1" s="2">
        <f t="shared" si="2"/>
        <v>2.8077713537271762</v>
      </c>
      <c r="BW1" s="2">
        <f t="shared" si="2"/>
        <v>2.8077713537271762</v>
      </c>
      <c r="BX1" s="2">
        <f t="shared" si="2"/>
        <v>2.8077713537271762</v>
      </c>
      <c r="BY1" s="2">
        <f t="shared" si="2"/>
        <v>2.5578829838938923</v>
      </c>
      <c r="BZ1" s="2">
        <f t="shared" si="2"/>
        <v>1.6182291096438781</v>
      </c>
      <c r="CA1" s="2">
        <f t="shared" si="2"/>
        <v>1094.7347312473651</v>
      </c>
      <c r="CB1" s="1">
        <f t="shared" si="2"/>
        <v>7161248.3659001552</v>
      </c>
      <c r="CC1" s="2">
        <f t="shared" si="2"/>
        <v>3.1823132055478838</v>
      </c>
      <c r="CD1" s="2">
        <f t="shared" si="2"/>
        <v>0.20464667641916753</v>
      </c>
      <c r="CE1" s="2">
        <f t="shared" si="2"/>
        <v>137.63040549781977</v>
      </c>
      <c r="CF1" s="2">
        <f t="shared" si="2"/>
        <v>11.600000000000009</v>
      </c>
      <c r="CG1" s="1">
        <f t="shared" si="2"/>
        <v>173388.27748896548</v>
      </c>
      <c r="CH1" s="1">
        <f t="shared" si="2"/>
        <v>8522178.5599999912</v>
      </c>
      <c r="CI1" s="1">
        <f t="shared" si="2"/>
        <v>2041975</v>
      </c>
      <c r="CJ1" s="1">
        <f t="shared" si="2"/>
        <v>89429595</v>
      </c>
      <c r="CK1" s="2">
        <f t="shared" si="2"/>
        <v>0</v>
      </c>
      <c r="CL1" s="2">
        <f t="shared" si="2"/>
        <v>139002232.32680002</v>
      </c>
      <c r="CM1" s="2">
        <f t="shared" si="2"/>
        <v>3685750.5694000004</v>
      </c>
      <c r="CN1" s="2">
        <f t="shared" si="2"/>
        <v>2041975</v>
      </c>
      <c r="CO1" s="2">
        <f t="shared" si="2"/>
        <v>8522178.5599999912</v>
      </c>
      <c r="CP1" s="2">
        <f t="shared" si="2"/>
        <v>132123829.3362</v>
      </c>
      <c r="CQ1" s="2">
        <f t="shared" si="2"/>
        <v>19474.25</v>
      </c>
      <c r="CR1" s="2">
        <f t="shared" si="2"/>
        <v>362793.70032696216</v>
      </c>
      <c r="CS1" s="2">
        <f t="shared" si="2"/>
        <v>363410.44961751805</v>
      </c>
      <c r="CT1" s="2">
        <f t="shared" si="2"/>
        <v>128712486.90568312</v>
      </c>
      <c r="CU1" s="2">
        <f t="shared" si="2"/>
        <v>2041975</v>
      </c>
      <c r="CV1" s="2">
        <f t="shared" si="2"/>
        <v>8522178.5599999912</v>
      </c>
      <c r="CW1" s="2">
        <f t="shared" si="2"/>
        <v>139276640.46568316</v>
      </c>
      <c r="CX1" s="1">
        <f t="shared" si="2"/>
        <v>1859523.5854756592</v>
      </c>
      <c r="CY1" s="1">
        <f t="shared" si="2"/>
        <v>139533519.45886385</v>
      </c>
      <c r="CZ1" s="2"/>
      <c r="DA1" s="2">
        <f t="shared" ref="DA1:DH1" si="3">SUM(DA7:DA62)</f>
        <v>227238.09999999998</v>
      </c>
      <c r="DB1" s="2">
        <f t="shared" si="3"/>
        <v>292842.60953479941</v>
      </c>
      <c r="DC1" s="2">
        <f t="shared" si="3"/>
        <v>63898.899999999994</v>
      </c>
      <c r="DD1" s="2">
        <f t="shared" si="3"/>
        <v>57093.099999999991</v>
      </c>
      <c r="DE1" s="2">
        <f t="shared" si="3"/>
        <v>166363.99999999997</v>
      </c>
      <c r="DF1" s="2">
        <f t="shared" si="3"/>
        <v>493420.50000000012</v>
      </c>
      <c r="DG1" s="1">
        <f t="shared" si="3"/>
        <v>1300857.2095347992</v>
      </c>
      <c r="DH1" s="1">
        <f t="shared" si="3"/>
        <v>42231228.783388168</v>
      </c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3">
        <v>123</v>
      </c>
      <c r="DV1" s="3">
        <v>124</v>
      </c>
      <c r="DW1" s="3">
        <v>125</v>
      </c>
      <c r="DX1" s="3">
        <v>126</v>
      </c>
      <c r="DY1" s="3">
        <v>127</v>
      </c>
      <c r="DZ1" s="3">
        <v>128</v>
      </c>
      <c r="EA1" s="3">
        <v>129</v>
      </c>
      <c r="EB1" s="3">
        <v>130</v>
      </c>
      <c r="EC1" s="3">
        <v>131</v>
      </c>
      <c r="ED1" s="3">
        <v>132</v>
      </c>
      <c r="EE1" s="3">
        <v>133</v>
      </c>
      <c r="EF1" s="3">
        <v>134</v>
      </c>
      <c r="EG1" s="3">
        <v>135</v>
      </c>
      <c r="EH1" s="3">
        <v>136</v>
      </c>
      <c r="EI1" s="3">
        <v>137</v>
      </c>
      <c r="EJ1" s="3">
        <v>138</v>
      </c>
      <c r="EK1" s="3">
        <v>139</v>
      </c>
      <c r="EL1" s="3">
        <v>140</v>
      </c>
      <c r="EM1" s="3">
        <v>141</v>
      </c>
      <c r="EN1" s="3">
        <v>142</v>
      </c>
      <c r="EO1" s="3">
        <v>143</v>
      </c>
      <c r="EP1" s="3">
        <v>144</v>
      </c>
      <c r="EQ1" s="3">
        <v>145</v>
      </c>
      <c r="ER1" s="3">
        <v>146</v>
      </c>
      <c r="ES1" s="3">
        <v>147</v>
      </c>
      <c r="ET1" s="3">
        <v>148</v>
      </c>
      <c r="EU1" s="3">
        <v>149</v>
      </c>
      <c r="EV1" s="3">
        <v>150</v>
      </c>
      <c r="EW1" s="3">
        <v>151</v>
      </c>
      <c r="EX1" s="3">
        <v>152</v>
      </c>
      <c r="EY1" s="3">
        <v>153</v>
      </c>
      <c r="EZ1" s="3">
        <v>154</v>
      </c>
      <c r="FA1" s="3">
        <v>155</v>
      </c>
      <c r="FB1" s="3">
        <v>156</v>
      </c>
      <c r="FC1" s="3">
        <v>157</v>
      </c>
      <c r="FD1" s="3">
        <v>158</v>
      </c>
      <c r="FE1" s="3">
        <v>159</v>
      </c>
      <c r="FF1" s="3">
        <v>160</v>
      </c>
      <c r="FG1" s="3">
        <v>161</v>
      </c>
      <c r="FH1" s="3">
        <v>162</v>
      </c>
      <c r="FI1" s="3">
        <v>163</v>
      </c>
      <c r="FJ1" s="3">
        <v>164</v>
      </c>
      <c r="FK1" s="3">
        <v>165</v>
      </c>
      <c r="FL1" s="3">
        <v>166</v>
      </c>
      <c r="FM1" s="3">
        <v>167</v>
      </c>
      <c r="FN1" s="3">
        <v>168</v>
      </c>
      <c r="FO1" s="3">
        <v>169</v>
      </c>
    </row>
    <row r="2" spans="1:171"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">
        <v>32</v>
      </c>
      <c r="AI2" s="2">
        <v>33</v>
      </c>
      <c r="AJ2" s="2">
        <v>34</v>
      </c>
      <c r="AK2" s="2">
        <v>35</v>
      </c>
      <c r="AL2" s="2">
        <v>36</v>
      </c>
      <c r="AM2" s="2">
        <v>37</v>
      </c>
      <c r="AN2" s="2">
        <v>38</v>
      </c>
      <c r="AO2" s="2">
        <v>39</v>
      </c>
      <c r="AP2" s="2">
        <v>40</v>
      </c>
      <c r="AQ2" s="2">
        <v>41</v>
      </c>
      <c r="AR2" s="2">
        <v>42</v>
      </c>
      <c r="AS2" s="2">
        <v>43</v>
      </c>
      <c r="AT2" s="2">
        <v>44</v>
      </c>
      <c r="AU2" s="2">
        <v>45</v>
      </c>
      <c r="AV2" s="2">
        <v>46</v>
      </c>
      <c r="AW2" s="2">
        <v>47</v>
      </c>
      <c r="AX2" s="2">
        <v>48</v>
      </c>
      <c r="AY2" s="2">
        <v>49</v>
      </c>
      <c r="AZ2" s="2">
        <v>50</v>
      </c>
      <c r="BA2" s="2">
        <v>51</v>
      </c>
      <c r="BB2" s="2">
        <v>52</v>
      </c>
      <c r="BC2" s="2">
        <v>53</v>
      </c>
      <c r="BD2" s="2">
        <v>54</v>
      </c>
      <c r="BE2" s="2">
        <v>55</v>
      </c>
      <c r="BF2" s="2">
        <v>56</v>
      </c>
      <c r="BG2" s="2">
        <v>57</v>
      </c>
      <c r="BH2" s="2">
        <v>58</v>
      </c>
      <c r="BI2" s="2">
        <v>59</v>
      </c>
      <c r="BJ2" s="2">
        <v>60</v>
      </c>
      <c r="BK2" s="2">
        <v>61</v>
      </c>
      <c r="BL2" s="2">
        <v>62</v>
      </c>
      <c r="BM2" s="2">
        <v>63</v>
      </c>
      <c r="BN2" s="2">
        <v>64</v>
      </c>
      <c r="BO2" s="2">
        <v>65</v>
      </c>
      <c r="BP2" s="2">
        <v>66</v>
      </c>
      <c r="BQ2" s="2">
        <v>67</v>
      </c>
      <c r="BR2" s="2">
        <v>68</v>
      </c>
      <c r="BS2" s="2">
        <v>69</v>
      </c>
      <c r="BT2" s="2">
        <v>70</v>
      </c>
      <c r="BU2" s="2">
        <v>71</v>
      </c>
      <c r="BV2" s="2">
        <v>72</v>
      </c>
      <c r="BW2" s="2">
        <v>73</v>
      </c>
      <c r="BX2" s="2">
        <v>74</v>
      </c>
      <c r="BY2" s="2">
        <v>75</v>
      </c>
      <c r="BZ2" s="2">
        <v>76</v>
      </c>
      <c r="CA2" s="2">
        <v>77</v>
      </c>
      <c r="CB2" s="2">
        <v>78</v>
      </c>
      <c r="CC2" s="2">
        <v>79</v>
      </c>
      <c r="CD2" s="2">
        <v>80</v>
      </c>
      <c r="CE2" s="2">
        <v>81</v>
      </c>
      <c r="CF2" s="2">
        <v>82</v>
      </c>
      <c r="CG2" s="2">
        <v>83</v>
      </c>
      <c r="CH2" s="2">
        <v>84</v>
      </c>
      <c r="CI2" s="2">
        <v>85</v>
      </c>
      <c r="CJ2" s="2">
        <v>86</v>
      </c>
      <c r="CK2" s="2">
        <v>87</v>
      </c>
      <c r="CL2" s="2">
        <v>88</v>
      </c>
      <c r="CM2" s="2">
        <v>89</v>
      </c>
      <c r="CN2" s="2">
        <v>90</v>
      </c>
      <c r="CO2" s="2">
        <v>91</v>
      </c>
      <c r="CP2" s="2">
        <v>92</v>
      </c>
      <c r="CQ2" s="2">
        <v>93</v>
      </c>
      <c r="CR2" s="2">
        <v>94</v>
      </c>
      <c r="CS2" s="2">
        <v>95</v>
      </c>
      <c r="CT2" s="2">
        <v>96</v>
      </c>
      <c r="CU2" s="2">
        <v>97</v>
      </c>
      <c r="CV2" s="2">
        <v>98</v>
      </c>
      <c r="CW2" s="2">
        <v>99</v>
      </c>
      <c r="CX2" s="4">
        <v>1.6999999999999999E-3</v>
      </c>
      <c r="CY2" s="2">
        <v>101</v>
      </c>
      <c r="CZ2" s="2">
        <v>102</v>
      </c>
      <c r="DA2" s="2">
        <v>103</v>
      </c>
      <c r="DB2" s="2">
        <v>104</v>
      </c>
      <c r="DC2" s="2">
        <v>105</v>
      </c>
      <c r="DD2" s="2">
        <v>106</v>
      </c>
      <c r="DE2" s="2">
        <v>107</v>
      </c>
      <c r="DF2" s="2">
        <v>108</v>
      </c>
      <c r="DG2" s="2">
        <v>109</v>
      </c>
      <c r="DH2" s="2">
        <v>110</v>
      </c>
      <c r="DI2" s="2">
        <v>111</v>
      </c>
      <c r="DJ2" s="5">
        <v>112</v>
      </c>
      <c r="DK2" s="6">
        <v>113</v>
      </c>
      <c r="DL2" s="6">
        <v>114</v>
      </c>
      <c r="DM2" s="6">
        <v>115</v>
      </c>
      <c r="DN2" s="6">
        <v>116</v>
      </c>
      <c r="DO2" s="7">
        <v>117</v>
      </c>
      <c r="DP2" s="2">
        <v>118</v>
      </c>
      <c r="DQ2" s="2">
        <v>119</v>
      </c>
      <c r="DR2" s="2">
        <v>120</v>
      </c>
      <c r="DS2" s="2">
        <v>121</v>
      </c>
      <c r="DT2" s="2">
        <v>122</v>
      </c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>
        <f t="shared" ref="EP2:FE2" si="4">COUNTIF(EP7:EP62,"&lt;&gt;0")</f>
        <v>0</v>
      </c>
      <c r="EQ2" s="2">
        <f t="shared" si="4"/>
        <v>0</v>
      </c>
      <c r="ER2" s="2">
        <f t="shared" si="4"/>
        <v>0</v>
      </c>
      <c r="ES2" s="2">
        <f t="shared" si="4"/>
        <v>0</v>
      </c>
      <c r="ET2" s="2">
        <f t="shared" si="4"/>
        <v>0</v>
      </c>
      <c r="EU2" s="2">
        <f t="shared" si="4"/>
        <v>0</v>
      </c>
      <c r="EV2" s="2">
        <f t="shared" si="4"/>
        <v>0</v>
      </c>
      <c r="EW2" s="2">
        <f t="shared" si="4"/>
        <v>0</v>
      </c>
      <c r="EX2" s="2">
        <f t="shared" si="4"/>
        <v>0</v>
      </c>
      <c r="EY2" s="2">
        <f t="shared" si="4"/>
        <v>0</v>
      </c>
      <c r="EZ2" s="2">
        <f t="shared" si="4"/>
        <v>0</v>
      </c>
      <c r="FA2" s="2">
        <f t="shared" si="4"/>
        <v>0</v>
      </c>
      <c r="FB2" s="2">
        <f t="shared" si="4"/>
        <v>0</v>
      </c>
      <c r="FC2" s="2">
        <f t="shared" si="4"/>
        <v>0</v>
      </c>
      <c r="FD2" s="2">
        <f t="shared" si="4"/>
        <v>0</v>
      </c>
      <c r="FE2" s="2">
        <f t="shared" si="4"/>
        <v>0</v>
      </c>
      <c r="FF2" s="2"/>
      <c r="FG2" s="2"/>
      <c r="FH2" s="2"/>
      <c r="FI2" s="2"/>
      <c r="FJ2" s="2"/>
      <c r="FK2" s="2"/>
      <c r="FL2" s="2"/>
      <c r="FM2" s="2"/>
      <c r="FN2" s="2"/>
      <c r="FO2" s="2"/>
    </row>
    <row r="3" spans="1:171">
      <c r="D3" s="2" t="s">
        <v>0</v>
      </c>
      <c r="M3" s="8">
        <v>4617</v>
      </c>
      <c r="N3" s="1"/>
      <c r="O3" s="1"/>
      <c r="P3" s="1"/>
      <c r="Q3" s="1"/>
      <c r="R3" s="1">
        <v>570.67999999999995</v>
      </c>
      <c r="S3" s="1"/>
      <c r="T3" s="1"/>
      <c r="U3" s="1"/>
      <c r="V3" s="1"/>
      <c r="W3" s="1">
        <v>838.19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>
        <v>273.45</v>
      </c>
      <c r="AK3" s="1">
        <v>332.9</v>
      </c>
      <c r="AL3" s="1">
        <v>523.12</v>
      </c>
      <c r="AM3" s="1">
        <v>570.67999999999995</v>
      </c>
      <c r="AN3" s="1">
        <v>606.35</v>
      </c>
      <c r="AO3" s="1">
        <v>796.58</v>
      </c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>
        <v>689.57</v>
      </c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>
        <v>1373.2</v>
      </c>
      <c r="CC3" s="1"/>
      <c r="CD3" s="1"/>
      <c r="CE3" s="1"/>
      <c r="CF3" s="1"/>
      <c r="CG3" s="1">
        <v>1123.53</v>
      </c>
      <c r="CH3" s="1"/>
      <c r="CI3" s="1"/>
      <c r="CJ3" s="1"/>
      <c r="CK3" s="1">
        <v>4405</v>
      </c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9">
        <f>COUNTIF(CX7:CX62,"&gt;0")</f>
        <v>41</v>
      </c>
      <c r="CY3" s="1"/>
      <c r="DG3" s="1"/>
      <c r="DJ3" s="10"/>
      <c r="DO3" s="11"/>
    </row>
    <row r="4" spans="1:171">
      <c r="D4" s="2" t="s">
        <v>1</v>
      </c>
      <c r="M4" s="8">
        <v>6503</v>
      </c>
      <c r="N4" s="1"/>
      <c r="O4" s="1"/>
      <c r="P4" s="1"/>
      <c r="Q4" s="1"/>
      <c r="R4" s="1">
        <v>570.67999999999995</v>
      </c>
      <c r="S4" s="1"/>
      <c r="T4" s="1"/>
      <c r="U4" s="1"/>
      <c r="V4" s="1"/>
      <c r="W4" s="1">
        <v>1224.5899999999999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>
        <v>398.29</v>
      </c>
      <c r="BC4" s="1">
        <v>529.07000000000005</v>
      </c>
      <c r="BD4" s="1">
        <v>737.13</v>
      </c>
      <c r="BE4" s="1">
        <v>808.47</v>
      </c>
      <c r="BF4" s="1">
        <v>867.91</v>
      </c>
      <c r="BG4" s="1">
        <v>1105.7</v>
      </c>
      <c r="BH4" s="1"/>
      <c r="BI4" s="1"/>
      <c r="BJ4" s="1"/>
      <c r="BK4" s="1"/>
      <c r="BL4" s="1"/>
      <c r="BM4" s="1">
        <v>1860.66</v>
      </c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>
        <v>2080.61</v>
      </c>
      <c r="CC4" s="1"/>
      <c r="CD4" s="1"/>
      <c r="CE4" s="1"/>
      <c r="CF4" s="1"/>
      <c r="CG4" s="1">
        <v>1616.93</v>
      </c>
      <c r="CH4" s="1"/>
      <c r="CI4" s="1"/>
      <c r="CJ4" s="1"/>
      <c r="CK4" s="1">
        <v>5715</v>
      </c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2">
        <f>CX3/74</f>
        <v>0.55405405405405406</v>
      </c>
      <c r="CY4" s="1"/>
      <c r="DG4" s="1"/>
      <c r="DJ4" s="10"/>
      <c r="DO4" s="11"/>
      <c r="DP4" s="13" t="s">
        <v>2</v>
      </c>
      <c r="DQ4" s="13" t="s">
        <v>3</v>
      </c>
      <c r="EP4" s="14" t="s">
        <v>4</v>
      </c>
      <c r="EQ4" s="14" t="s">
        <v>5</v>
      </c>
      <c r="ER4" s="14" t="s">
        <v>6</v>
      </c>
      <c r="ES4" s="14" t="s">
        <v>7</v>
      </c>
      <c r="ET4" s="14" t="s">
        <v>8</v>
      </c>
      <c r="EU4" s="14" t="s">
        <v>9</v>
      </c>
      <c r="EV4" s="14" t="s">
        <v>10</v>
      </c>
      <c r="EW4" s="14" t="s">
        <v>11</v>
      </c>
      <c r="EX4" s="14" t="s">
        <v>12</v>
      </c>
      <c r="EY4" s="14" t="s">
        <v>13</v>
      </c>
      <c r="EZ4" s="14" t="s">
        <v>14</v>
      </c>
      <c r="FA4" s="14" t="s">
        <v>15</v>
      </c>
      <c r="FB4" s="14" t="s">
        <v>16</v>
      </c>
      <c r="FC4" s="14" t="s">
        <v>17</v>
      </c>
      <c r="FD4" s="14" t="s">
        <v>18</v>
      </c>
      <c r="FE4" s="14" t="s">
        <v>19</v>
      </c>
      <c r="FF4" s="14" t="s">
        <v>20</v>
      </c>
      <c r="FG4" s="14" t="s">
        <v>21</v>
      </c>
    </row>
    <row r="5" spans="1:171">
      <c r="D5" s="2" t="s">
        <v>22</v>
      </c>
      <c r="M5" s="8">
        <v>6961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5">
        <v>0.54469374000000004</v>
      </c>
      <c r="BQ5" s="15">
        <v>0.64527133999999997</v>
      </c>
      <c r="BR5" s="15">
        <v>0.64527133999999997</v>
      </c>
      <c r="BS5" s="15">
        <v>0.64527133999999997</v>
      </c>
      <c r="BT5" s="15">
        <v>0.63585522999999999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2"/>
      <c r="CY5" s="1"/>
      <c r="CZ5" s="2"/>
      <c r="DA5" s="2">
        <v>12.02</v>
      </c>
      <c r="DB5" s="2">
        <v>86</v>
      </c>
      <c r="DC5" s="2">
        <v>3.38</v>
      </c>
      <c r="DD5" s="2">
        <v>3.02</v>
      </c>
      <c r="DE5" s="2">
        <v>8.8000000000000007</v>
      </c>
      <c r="DF5" s="2">
        <v>26.1</v>
      </c>
      <c r="DG5" s="1"/>
      <c r="DJ5" s="10"/>
      <c r="DO5" s="11"/>
    </row>
    <row r="6" spans="1:171">
      <c r="A6" s="16"/>
      <c r="B6" s="16" t="s">
        <v>23</v>
      </c>
      <c r="C6" s="16" t="s">
        <v>24</v>
      </c>
      <c r="D6" s="16" t="s">
        <v>25</v>
      </c>
      <c r="E6" s="2" t="s">
        <v>26</v>
      </c>
      <c r="F6" s="2" t="s">
        <v>27</v>
      </c>
      <c r="G6" s="2" t="s">
        <v>28</v>
      </c>
      <c r="H6" s="2" t="s">
        <v>29</v>
      </c>
      <c r="I6" s="2" t="s">
        <v>30</v>
      </c>
      <c r="J6" s="2" t="s">
        <v>31</v>
      </c>
      <c r="K6" s="2" t="s">
        <v>32</v>
      </c>
      <c r="L6" s="2" t="s">
        <v>33</v>
      </c>
      <c r="M6" s="16" t="s">
        <v>34</v>
      </c>
      <c r="N6" s="2" t="s">
        <v>35</v>
      </c>
      <c r="O6" s="2" t="s">
        <v>36</v>
      </c>
      <c r="P6" s="2" t="s">
        <v>37</v>
      </c>
      <c r="Q6" s="2" t="s">
        <v>38</v>
      </c>
      <c r="R6" s="16" t="s">
        <v>39</v>
      </c>
      <c r="S6" s="2" t="s">
        <v>40</v>
      </c>
      <c r="T6" s="2" t="s">
        <v>41</v>
      </c>
      <c r="U6" s="2" t="s">
        <v>42</v>
      </c>
      <c r="V6" s="2" t="s">
        <v>43</v>
      </c>
      <c r="W6" s="16" t="s">
        <v>44</v>
      </c>
      <c r="X6" s="2" t="s">
        <v>45</v>
      </c>
      <c r="Y6" s="2" t="s">
        <v>46</v>
      </c>
      <c r="Z6" s="2" t="s">
        <v>47</v>
      </c>
      <c r="AA6" s="2" t="s">
        <v>48</v>
      </c>
      <c r="AB6" s="2" t="s">
        <v>49</v>
      </c>
      <c r="AC6" s="2" t="s">
        <v>50</v>
      </c>
      <c r="AD6" s="2" t="s">
        <v>51</v>
      </c>
      <c r="AE6" s="2" t="s">
        <v>52</v>
      </c>
      <c r="AF6" s="2" t="s">
        <v>53</v>
      </c>
      <c r="AG6" s="2" t="s">
        <v>54</v>
      </c>
      <c r="AH6" s="2" t="s">
        <v>55</v>
      </c>
      <c r="AI6" s="2" t="s">
        <v>56</v>
      </c>
      <c r="AJ6" s="2" t="s">
        <v>57</v>
      </c>
      <c r="AK6" s="2" t="s">
        <v>58</v>
      </c>
      <c r="AL6" s="2" t="s">
        <v>59</v>
      </c>
      <c r="AM6" s="2" t="s">
        <v>60</v>
      </c>
      <c r="AN6" s="2" t="s">
        <v>61</v>
      </c>
      <c r="AO6" s="2" t="s">
        <v>62</v>
      </c>
      <c r="AP6" s="2" t="s">
        <v>63</v>
      </c>
      <c r="AQ6" s="2" t="s">
        <v>64</v>
      </c>
      <c r="AR6" s="2" t="s">
        <v>65</v>
      </c>
      <c r="AS6" s="2" t="s">
        <v>66</v>
      </c>
      <c r="AT6" s="2" t="s">
        <v>67</v>
      </c>
      <c r="AU6" s="2" t="s">
        <v>68</v>
      </c>
      <c r="AV6" s="2" t="s">
        <v>69</v>
      </c>
      <c r="AW6" s="2" t="s">
        <v>70</v>
      </c>
      <c r="AX6" s="2" t="s">
        <v>71</v>
      </c>
      <c r="AY6" s="2" t="s">
        <v>72</v>
      </c>
      <c r="AZ6" s="2" t="s">
        <v>73</v>
      </c>
      <c r="BA6" s="2" t="s">
        <v>74</v>
      </c>
      <c r="BB6" s="2" t="s">
        <v>75</v>
      </c>
      <c r="BC6" s="2" t="s">
        <v>76</v>
      </c>
      <c r="BD6" s="2" t="s">
        <v>77</v>
      </c>
      <c r="BE6" s="2" t="s">
        <v>78</v>
      </c>
      <c r="BF6" s="2" t="s">
        <v>79</v>
      </c>
      <c r="BG6" s="2" t="s">
        <v>80</v>
      </c>
      <c r="BH6" s="16" t="s">
        <v>81</v>
      </c>
      <c r="BI6" s="2" t="s">
        <v>82</v>
      </c>
      <c r="BJ6" s="2" t="s">
        <v>83</v>
      </c>
      <c r="BK6" s="2" t="s">
        <v>84</v>
      </c>
      <c r="BL6" s="2" t="s">
        <v>85</v>
      </c>
      <c r="BM6" s="16" t="s">
        <v>86</v>
      </c>
      <c r="BN6" s="2" t="s">
        <v>87</v>
      </c>
      <c r="BO6" s="2" t="s">
        <v>88</v>
      </c>
      <c r="BP6" s="2" t="s">
        <v>89</v>
      </c>
      <c r="BQ6" s="2" t="s">
        <v>90</v>
      </c>
      <c r="BR6" s="2" t="s">
        <v>91</v>
      </c>
      <c r="BS6" s="2" t="s">
        <v>92</v>
      </c>
      <c r="BT6" s="2" t="s">
        <v>93</v>
      </c>
      <c r="BU6" s="2" t="s">
        <v>94</v>
      </c>
      <c r="BV6" s="2" t="s">
        <v>95</v>
      </c>
      <c r="BW6" s="2" t="s">
        <v>96</v>
      </c>
      <c r="BX6" s="2" t="s">
        <v>97</v>
      </c>
      <c r="BY6" s="2" t="s">
        <v>98</v>
      </c>
      <c r="BZ6" s="2" t="s">
        <v>99</v>
      </c>
      <c r="CA6" s="2" t="s">
        <v>100</v>
      </c>
      <c r="CB6" s="16" t="s">
        <v>101</v>
      </c>
      <c r="CC6" s="2" t="s">
        <v>102</v>
      </c>
      <c r="CD6" s="2" t="s">
        <v>103</v>
      </c>
      <c r="CE6" s="2" t="s">
        <v>88</v>
      </c>
      <c r="CF6" s="2" t="s">
        <v>100</v>
      </c>
      <c r="CG6" s="16" t="s">
        <v>104</v>
      </c>
      <c r="CH6" s="16" t="s">
        <v>105</v>
      </c>
      <c r="CI6" s="16" t="s">
        <v>106</v>
      </c>
      <c r="CJ6" s="2" t="s">
        <v>107</v>
      </c>
      <c r="CK6" s="16" t="s">
        <v>108</v>
      </c>
      <c r="CL6" s="2" t="s">
        <v>109</v>
      </c>
      <c r="CM6" s="2" t="s">
        <v>110</v>
      </c>
      <c r="CN6" s="2" t="s">
        <v>111</v>
      </c>
      <c r="CO6" s="2" t="s">
        <v>112</v>
      </c>
      <c r="CP6" s="2" t="s">
        <v>113</v>
      </c>
      <c r="CQ6" s="2" t="s">
        <v>114</v>
      </c>
      <c r="CR6" s="2" t="s">
        <v>115</v>
      </c>
      <c r="CS6" s="2" t="s">
        <v>116</v>
      </c>
      <c r="CT6" s="2" t="s">
        <v>117</v>
      </c>
      <c r="CU6" s="2" t="s">
        <v>118</v>
      </c>
      <c r="CV6" s="2" t="s">
        <v>112</v>
      </c>
      <c r="CW6" s="2" t="s">
        <v>6</v>
      </c>
      <c r="CX6" s="16" t="s">
        <v>119</v>
      </c>
      <c r="CY6" s="16" t="s">
        <v>120</v>
      </c>
      <c r="CZ6" s="17" t="s">
        <v>121</v>
      </c>
      <c r="DA6" s="17" t="s">
        <v>122</v>
      </c>
      <c r="DB6" s="17" t="s">
        <v>123</v>
      </c>
      <c r="DC6" s="17" t="s">
        <v>124</v>
      </c>
      <c r="DD6" s="17" t="s">
        <v>125</v>
      </c>
      <c r="DE6" s="17" t="s">
        <v>126</v>
      </c>
      <c r="DF6" s="17" t="s">
        <v>127</v>
      </c>
      <c r="DG6" s="18" t="s">
        <v>8</v>
      </c>
      <c r="DH6" s="16" t="s">
        <v>5</v>
      </c>
      <c r="DI6" s="16"/>
      <c r="DJ6" s="19" t="s">
        <v>128</v>
      </c>
      <c r="DK6" s="2" t="s">
        <v>129</v>
      </c>
      <c r="DL6" s="2" t="s">
        <v>130</v>
      </c>
      <c r="DM6" s="2" t="s">
        <v>131</v>
      </c>
      <c r="DN6" s="2" t="s">
        <v>132</v>
      </c>
      <c r="DO6" s="20" t="s">
        <v>133</v>
      </c>
      <c r="DP6" s="2" t="s">
        <v>134</v>
      </c>
      <c r="DQ6" s="2" t="s">
        <v>135</v>
      </c>
      <c r="DR6" s="2" t="s">
        <v>16</v>
      </c>
      <c r="DS6" s="16"/>
      <c r="DT6" s="2" t="s">
        <v>136</v>
      </c>
      <c r="DU6" s="16"/>
      <c r="DV6" s="16"/>
      <c r="DW6" s="16"/>
      <c r="DX6" s="2" t="s">
        <v>137</v>
      </c>
      <c r="DY6" s="2" t="s">
        <v>138</v>
      </c>
      <c r="DZ6" s="2" t="s">
        <v>139</v>
      </c>
      <c r="EA6" s="2" t="s">
        <v>140</v>
      </c>
      <c r="EB6" s="2" t="s">
        <v>141</v>
      </c>
      <c r="EC6" s="2" t="s">
        <v>142</v>
      </c>
      <c r="ED6" s="2" t="s">
        <v>143</v>
      </c>
      <c r="EE6" s="2" t="s">
        <v>144</v>
      </c>
      <c r="EF6" s="2" t="s">
        <v>145</v>
      </c>
      <c r="EG6" s="2" t="s">
        <v>146</v>
      </c>
      <c r="EH6" s="2" t="s">
        <v>147</v>
      </c>
      <c r="EI6" s="2" t="s">
        <v>148</v>
      </c>
      <c r="EJ6" s="2" t="s">
        <v>149</v>
      </c>
      <c r="EK6" s="2" t="s">
        <v>150</v>
      </c>
      <c r="EL6" s="2" t="s">
        <v>151</v>
      </c>
      <c r="EM6" s="2" t="s">
        <v>152</v>
      </c>
      <c r="EN6" s="2" t="s">
        <v>153</v>
      </c>
      <c r="EO6" s="2" t="s">
        <v>154</v>
      </c>
      <c r="EP6" s="2" t="s">
        <v>155</v>
      </c>
      <c r="EQ6" s="2" t="s">
        <v>156</v>
      </c>
      <c r="ER6" s="2" t="s">
        <v>157</v>
      </c>
      <c r="ES6" s="2" t="s">
        <v>158</v>
      </c>
      <c r="ET6" s="2" t="s">
        <v>159</v>
      </c>
      <c r="EU6" s="2" t="s">
        <v>160</v>
      </c>
      <c r="EV6" s="2" t="s">
        <v>161</v>
      </c>
      <c r="EW6" s="2" t="s">
        <v>162</v>
      </c>
      <c r="EX6" s="2" t="s">
        <v>163</v>
      </c>
      <c r="EY6" s="2" t="s">
        <v>164</v>
      </c>
      <c r="EZ6" s="2" t="s">
        <v>165</v>
      </c>
      <c r="FA6" s="2" t="s">
        <v>166</v>
      </c>
      <c r="FB6" s="2" t="s">
        <v>167</v>
      </c>
      <c r="FC6" s="2" t="s">
        <v>168</v>
      </c>
      <c r="FD6" s="2" t="s">
        <v>169</v>
      </c>
      <c r="FE6" s="2" t="s">
        <v>170</v>
      </c>
      <c r="FF6" s="2" t="s">
        <v>171</v>
      </c>
      <c r="FG6" s="2" t="s">
        <v>172</v>
      </c>
      <c r="FH6" s="16"/>
      <c r="FI6" s="16"/>
      <c r="FJ6" s="21" t="s">
        <v>173</v>
      </c>
      <c r="FK6" s="21" t="s">
        <v>174</v>
      </c>
      <c r="FL6" s="21" t="s">
        <v>175</v>
      </c>
      <c r="FM6" s="21" t="s">
        <v>176</v>
      </c>
      <c r="FN6" s="21" t="s">
        <v>177</v>
      </c>
      <c r="FO6" s="16"/>
    </row>
    <row r="7" spans="1:171">
      <c r="A7" s="2" t="s">
        <v>178</v>
      </c>
      <c r="B7" s="2">
        <v>100218</v>
      </c>
      <c r="C7" s="2">
        <v>2042048</v>
      </c>
      <c r="D7" s="2" t="s">
        <v>179</v>
      </c>
      <c r="E7" s="2">
        <v>387</v>
      </c>
      <c r="F7" s="2">
        <v>387</v>
      </c>
      <c r="G7" s="2">
        <v>42</v>
      </c>
      <c r="H7" s="2">
        <v>345</v>
      </c>
      <c r="I7" s="2">
        <v>0</v>
      </c>
      <c r="J7" s="2">
        <v>0</v>
      </c>
      <c r="K7" s="2">
        <v>0</v>
      </c>
      <c r="L7" s="2">
        <v>2</v>
      </c>
      <c r="M7" s="1">
        <f t="shared" ref="M7:M62" si="5">(F7*M$3)+(J7*M$4)+(K7*M$5)</f>
        <v>1786779</v>
      </c>
      <c r="N7" s="2">
        <v>0.50387596899224796</v>
      </c>
      <c r="O7" s="2">
        <v>0</v>
      </c>
      <c r="P7" s="2">
        <f t="shared" ref="P7:P62" si="6">N7*F7</f>
        <v>194.99999999999997</v>
      </c>
      <c r="Q7" s="2">
        <f t="shared" ref="Q7:Q62" si="7">O7*I7</f>
        <v>0</v>
      </c>
      <c r="R7" s="1">
        <f t="shared" ref="R7:R62" si="8">(P7*R$3)+(Q7*R$4)</f>
        <v>111282.59999999998</v>
      </c>
      <c r="S7" s="2">
        <v>0.50904392764857898</v>
      </c>
      <c r="T7" s="2">
        <v>0</v>
      </c>
      <c r="U7" s="2">
        <f t="shared" ref="U7:U62" si="9">S7*F7</f>
        <v>197.00000000000006</v>
      </c>
      <c r="V7" s="2">
        <f t="shared" ref="V7:V62" si="10">T7*I7</f>
        <v>0</v>
      </c>
      <c r="W7" s="1">
        <f t="shared" ref="W7:W62" si="11">(U7*W$3)+(V7*W$4)</f>
        <v>165123.43000000005</v>
      </c>
      <c r="X7" s="2">
        <v>5.1679586563307497E-2</v>
      </c>
      <c r="Y7" s="2">
        <v>4.3927648578811401E-2</v>
      </c>
      <c r="Z7" s="2">
        <v>3.35917312661499E-2</v>
      </c>
      <c r="AA7" s="2">
        <v>0.403100775193798</v>
      </c>
      <c r="AB7" s="2">
        <v>0.45736434108527102</v>
      </c>
      <c r="AC7" s="2">
        <v>2.58397932816537E-3</v>
      </c>
      <c r="AD7" s="2">
        <f t="shared" ref="AD7:AI7" si="12">$F7*X7</f>
        <v>20</v>
      </c>
      <c r="AE7" s="2">
        <f t="shared" si="12"/>
        <v>17.000000000000011</v>
      </c>
      <c r="AF7" s="2">
        <f t="shared" si="12"/>
        <v>13.000000000000011</v>
      </c>
      <c r="AG7" s="2">
        <f t="shared" si="12"/>
        <v>155.99999999999983</v>
      </c>
      <c r="AH7" s="2">
        <f t="shared" si="12"/>
        <v>176.99999999999989</v>
      </c>
      <c r="AI7" s="2">
        <f t="shared" si="12"/>
        <v>0.99999999999999822</v>
      </c>
      <c r="AJ7" s="1">
        <f t="shared" ref="AJ7:AO7" si="13">AD7*AJ$3</f>
        <v>5469</v>
      </c>
      <c r="AK7" s="1">
        <f t="shared" si="13"/>
        <v>5659.3000000000029</v>
      </c>
      <c r="AL7" s="1">
        <f t="shared" si="13"/>
        <v>6800.5600000000059</v>
      </c>
      <c r="AM7" s="1">
        <f t="shared" si="13"/>
        <v>89026.0799999999</v>
      </c>
      <c r="AN7" s="1">
        <f t="shared" si="13"/>
        <v>107323.94999999994</v>
      </c>
      <c r="AO7" s="1">
        <f t="shared" si="13"/>
        <v>796.57999999999868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f t="shared" ref="AV7:BA7" si="14">$I7*AP7</f>
        <v>0</v>
      </c>
      <c r="AW7" s="2">
        <f t="shared" si="14"/>
        <v>0</v>
      </c>
      <c r="AX7" s="2">
        <f t="shared" si="14"/>
        <v>0</v>
      </c>
      <c r="AY7" s="2">
        <f t="shared" si="14"/>
        <v>0</v>
      </c>
      <c r="AZ7" s="2">
        <f t="shared" si="14"/>
        <v>0</v>
      </c>
      <c r="BA7" s="2">
        <f t="shared" si="14"/>
        <v>0</v>
      </c>
      <c r="BB7" s="1">
        <f t="shared" ref="BB7:BG7" si="15">AV7*BB$4</f>
        <v>0</v>
      </c>
      <c r="BC7" s="1">
        <f t="shared" si="15"/>
        <v>0</v>
      </c>
      <c r="BD7" s="1">
        <f t="shared" si="15"/>
        <v>0</v>
      </c>
      <c r="BE7" s="1">
        <f t="shared" si="15"/>
        <v>0</v>
      </c>
      <c r="BF7" s="1">
        <f t="shared" si="15"/>
        <v>0</v>
      </c>
      <c r="BG7" s="1">
        <f t="shared" si="15"/>
        <v>0</v>
      </c>
      <c r="BH7" s="1">
        <f t="shared" ref="BH7:BH62" si="16">SUM(AJ7:AO7)+SUM(BB7:BG7)</f>
        <v>215075.46999999983</v>
      </c>
      <c r="BI7" s="2">
        <v>0.231884057971014</v>
      </c>
      <c r="BJ7" s="2">
        <v>0</v>
      </c>
      <c r="BK7" s="2">
        <f t="shared" ref="BK7:BK62" si="17">F7*BI7</f>
        <v>89.73913043478241</v>
      </c>
      <c r="BL7" s="2">
        <f t="shared" ref="BL7:BL62" si="18">BJ7*I7</f>
        <v>0</v>
      </c>
      <c r="BM7" s="1">
        <f t="shared" ref="BM7:BM62" si="19">(BK7*BM$3)+(BL7*BM$4)</f>
        <v>61881.412173912911</v>
      </c>
      <c r="BN7" s="2">
        <v>0.36218905472636798</v>
      </c>
      <c r="BO7" s="2">
        <f t="shared" ref="BO7:BO62" si="20">BN7*F7</f>
        <v>140.16716417910442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f t="shared" ref="BZ7:BZ62" si="21">IFERROR((($BP$5*BP7*BU7)+($BQ$5*BQ7*BV7)+($BR$5*BR7*BW7)+($BS$5*BS7*BX7)+($BT$5*BT7*BY7))/$I7,0)</f>
        <v>0</v>
      </c>
      <c r="CA7" s="2">
        <f t="shared" ref="CA7:CA62" si="22">BZ7*I7</f>
        <v>0</v>
      </c>
      <c r="CB7" s="1">
        <f t="shared" ref="CB7:CB62" si="23">(BO7*CB$3)+(CA7*CB$4)</f>
        <v>192477.5498507462</v>
      </c>
      <c r="CC7" s="2">
        <v>4.6511627906976702E-2</v>
      </c>
      <c r="CD7" s="2">
        <v>0</v>
      </c>
      <c r="CE7" s="2">
        <f t="shared" ref="CE7:CE62" si="24">IF(CC7&gt;0.06,CC7-0.06,0)*F7</f>
        <v>0</v>
      </c>
      <c r="CF7" s="2">
        <f t="shared" ref="CF7:CF62" si="25">IF(CD7&gt;0.06,CD7-0.06,0)*I7</f>
        <v>0</v>
      </c>
      <c r="CG7" s="1">
        <f t="shared" ref="CG7:CG62" si="26">(CE7*CG$3)+(CF7*CG$4)</f>
        <v>0</v>
      </c>
      <c r="CH7" s="2">
        <v>152181.76000000001</v>
      </c>
      <c r="CI7" s="2">
        <v>32379</v>
      </c>
      <c r="CJ7" s="1">
        <f t="shared" ref="CJ7:CJ62" si="27">(F7*CK$3)+(I7*CK$4)</f>
        <v>1704735</v>
      </c>
      <c r="CK7" s="2">
        <f t="shared" ref="CK7:CK62" si="28">IF(CJ7-M7-R7-W7-BH7-BM7-CB7-CG7-CH7&lt;0,0,CJ7-M7-R7-W7-BH7-BM7-CB7-CG7-CH7)</f>
        <v>0</v>
      </c>
      <c r="CL7" s="2">
        <v>2747322.9966000002</v>
      </c>
      <c r="CM7" s="22">
        <v>70873.683799999999</v>
      </c>
      <c r="CN7" s="22">
        <v>32379</v>
      </c>
      <c r="CO7" s="2">
        <f t="shared" ref="CO7:CO62" si="29">CH7</f>
        <v>152181.76000000001</v>
      </c>
      <c r="CP7" s="2">
        <f t="shared" ref="CP7:CP62" si="30">CL7+CM7-CN7-CO7</f>
        <v>2633635.9204000002</v>
      </c>
      <c r="CQ7" s="2">
        <v>401</v>
      </c>
      <c r="CR7" s="2">
        <f t="shared" ref="CR7:CR62" si="31">CP7/CQ7</f>
        <v>6567.6706244389034</v>
      </c>
      <c r="CS7" s="2">
        <f t="shared" ref="CS7:CS62" si="32">CR7*(1+CX$2)</f>
        <v>6578.8356645004496</v>
      </c>
      <c r="CT7" s="2">
        <f t="shared" ref="CT7:CT62" si="33">CS7*E7</f>
        <v>2546009.4021616741</v>
      </c>
      <c r="CU7" s="2">
        <f t="shared" ref="CU7:CU62" si="34">CI7</f>
        <v>32379</v>
      </c>
      <c r="CV7" s="2">
        <f t="shared" ref="CV7:CV62" si="35">CH7</f>
        <v>152181.76000000001</v>
      </c>
      <c r="CW7" s="2">
        <f t="shared" ref="CW7:CW62" si="36">CT7+CU7+CV7</f>
        <v>2730570.1621616744</v>
      </c>
      <c r="CX7" s="1">
        <f t="shared" ref="CX7:CX62" si="37">IF(CW7-M7-R7-W7-BH7-BM7-CB7-CG7-CH7-CI7-CK7&lt;0,0,CW7-M7-R7-W7-BH7-BM7-CB7-CG7-CH7-CI7-CK7)</f>
        <v>13389.940137015335</v>
      </c>
      <c r="CY7" s="1">
        <f t="shared" ref="CY7:CY62" si="38">M7+R7+W7+BH7+BM7+CB7+CG7+CH7+CI7+CK7+CX7</f>
        <v>2730570.1621616739</v>
      </c>
      <c r="CZ7" s="2">
        <v>1</v>
      </c>
      <c r="DA7" s="2">
        <f t="shared" ref="DA7:DA62" si="39">$E7*DA$5*CZ7</f>
        <v>4651.74</v>
      </c>
      <c r="DB7" s="2">
        <f t="shared" ref="DB7:DB62" si="40">(BK7+BL7)*DB$5*CZ7</f>
        <v>7717.5652173912877</v>
      </c>
      <c r="DC7" s="2">
        <f t="shared" ref="DC7:DC62" si="41">$E7*DC$5*CZ7</f>
        <v>1308.06</v>
      </c>
      <c r="DD7" s="2">
        <f t="shared" ref="DD7:DD62" si="42">$E7*DD$5*CZ7</f>
        <v>1168.74</v>
      </c>
      <c r="DE7" s="2">
        <f t="shared" ref="DE7:DE62" si="43">$E7*DE$5*CZ7</f>
        <v>3405.6000000000004</v>
      </c>
      <c r="DF7" s="2">
        <f t="shared" ref="DF7:DF62" si="44">$E7*DF$5*CZ7</f>
        <v>10100.700000000001</v>
      </c>
      <c r="DG7" s="1">
        <f t="shared" ref="DG7:DG62" si="45">SUM(DA7:DF7)</f>
        <v>28352.40521739129</v>
      </c>
      <c r="DH7" s="1">
        <f t="shared" ref="DH7:DH62" si="46">(M7*0.17)+W7+BH7+BM7+CB7+CG7</f>
        <v>938310.29202465888</v>
      </c>
      <c r="DI7" s="9">
        <v>1</v>
      </c>
      <c r="DJ7" s="23">
        <v>5.36</v>
      </c>
      <c r="DK7" s="24">
        <v>0.18</v>
      </c>
      <c r="DL7" s="24">
        <v>0.18</v>
      </c>
      <c r="DM7" s="24">
        <v>0.45</v>
      </c>
      <c r="DN7" s="24">
        <v>0</v>
      </c>
      <c r="DO7" s="25">
        <v>6.16</v>
      </c>
      <c r="DP7" s="9">
        <v>8100</v>
      </c>
      <c r="DQ7" s="9">
        <v>29435</v>
      </c>
      <c r="DR7" s="9">
        <v>0</v>
      </c>
      <c r="DS7" s="9" t="str">
        <f t="shared" ref="DS7:DS62" si="47">RIGHT(A7,LEN(A7)-8)</f>
        <v>6671712</v>
      </c>
      <c r="DT7" s="9">
        <f t="shared" ref="DT7:DT62" si="48">((119*F7)+(168*J7)+(190*K7)+4510+(104*U7)+(152*V7))*1.18892</f>
        <v>84473.954920000004</v>
      </c>
      <c r="DU7" s="26"/>
      <c r="DV7" s="9"/>
      <c r="DW7" s="9"/>
      <c r="DX7" s="9">
        <v>2717180.2220246587</v>
      </c>
      <c r="DY7" s="9">
        <v>938310.29202465888</v>
      </c>
      <c r="DZ7" s="9">
        <v>2730570.1621616744</v>
      </c>
      <c r="EA7" s="9">
        <v>2730570.1621616744</v>
      </c>
      <c r="EB7" s="9">
        <v>28352.40521739129</v>
      </c>
      <c r="EC7" s="9">
        <v>2702217.7569442829</v>
      </c>
      <c r="ED7" s="9">
        <v>5.36</v>
      </c>
      <c r="EE7" s="9">
        <v>0.18</v>
      </c>
      <c r="EF7" s="9">
        <v>0.18</v>
      </c>
      <c r="EG7" s="9">
        <v>0.45</v>
      </c>
      <c r="EH7" s="9">
        <v>0</v>
      </c>
      <c r="EI7" s="9">
        <v>6.16</v>
      </c>
      <c r="EJ7" s="9">
        <v>0</v>
      </c>
      <c r="EK7" s="9">
        <v>84473.954920000004</v>
      </c>
      <c r="EL7" s="9">
        <v>29435</v>
      </c>
      <c r="EM7" s="9">
        <v>8100</v>
      </c>
      <c r="EN7" s="9">
        <v>2819508.1775189531</v>
      </c>
      <c r="EO7" s="9">
        <v>2823971.8327511228</v>
      </c>
      <c r="EP7" s="9">
        <f>ROUND(DX7-(CY7-CX7),0)</f>
        <v>0</v>
      </c>
      <c r="EQ7" s="9">
        <f t="shared" ref="EQ7:EQ62" si="49">ROUND(DY7-DH7,0)</f>
        <v>0</v>
      </c>
      <c r="ER7" s="9">
        <f t="shared" ref="ER7:ER62" si="50">ROUND(DZ7-CW7,0)</f>
        <v>0</v>
      </c>
      <c r="ES7" s="9">
        <f t="shared" ref="ES7:ES62" si="51">ROUND(EA7-CY7,0)</f>
        <v>0</v>
      </c>
      <c r="ET7" s="9">
        <f t="shared" ref="ET7:ET62" si="52">ROUND(EB7-DG7,0)</f>
        <v>0</v>
      </c>
      <c r="EU7" s="9">
        <f t="shared" ref="EU7:EU62" si="53">ROUND(EC7-(CY7-DG7),0)</f>
        <v>0</v>
      </c>
      <c r="EV7" s="9">
        <f t="shared" ref="EV7:FA7" si="54">ROUND(ED7-DJ7,0)</f>
        <v>0</v>
      </c>
      <c r="EW7" s="9">
        <f t="shared" si="54"/>
        <v>0</v>
      </c>
      <c r="EX7" s="9">
        <f t="shared" si="54"/>
        <v>0</v>
      </c>
      <c r="EY7" s="9">
        <f t="shared" si="54"/>
        <v>0</v>
      </c>
      <c r="EZ7" s="9">
        <f t="shared" si="54"/>
        <v>0</v>
      </c>
      <c r="FA7" s="9">
        <f t="shared" si="54"/>
        <v>0</v>
      </c>
      <c r="FB7" s="9">
        <f t="shared" ref="FB7:FB62" si="55">ROUND(EJ7-DR7,0)</f>
        <v>0</v>
      </c>
      <c r="FC7" s="9">
        <f t="shared" ref="FC7:FC62" si="56">ROUND(DT7-EK7,0)</f>
        <v>0</v>
      </c>
      <c r="FD7" s="9">
        <f t="shared" ref="FD7:FD62" si="57">ROUND(EL7-DQ7,0)</f>
        <v>0</v>
      </c>
      <c r="FE7" s="9">
        <f t="shared" ref="FE7:FE62" si="58">ROUND(EM7-DP7,0)</f>
        <v>0</v>
      </c>
      <c r="FF7" s="9"/>
      <c r="FG7" s="9"/>
      <c r="FH7" s="9"/>
      <c r="FI7" s="27"/>
      <c r="FJ7" s="21">
        <v>11115</v>
      </c>
      <c r="FK7" s="28">
        <v>7800</v>
      </c>
      <c r="FL7" s="28">
        <v>10260</v>
      </c>
      <c r="FM7" s="29">
        <v>4560</v>
      </c>
      <c r="FN7" s="28">
        <v>0</v>
      </c>
      <c r="FO7" s="9"/>
    </row>
    <row r="8" spans="1:171">
      <c r="A8" s="2" t="s">
        <v>180</v>
      </c>
      <c r="B8" s="2">
        <v>100221</v>
      </c>
      <c r="C8" s="2">
        <v>2042120</v>
      </c>
      <c r="D8" s="2" t="s">
        <v>181</v>
      </c>
      <c r="E8" s="2">
        <v>137</v>
      </c>
      <c r="F8" s="2">
        <v>137</v>
      </c>
      <c r="G8" s="2">
        <v>18</v>
      </c>
      <c r="H8" s="2">
        <v>119</v>
      </c>
      <c r="I8" s="2">
        <v>0</v>
      </c>
      <c r="J8" s="2">
        <v>0</v>
      </c>
      <c r="K8" s="2">
        <v>0</v>
      </c>
      <c r="L8" s="2">
        <v>2</v>
      </c>
      <c r="M8" s="1">
        <f t="shared" si="5"/>
        <v>632529</v>
      </c>
      <c r="N8" s="2">
        <v>0.321167883211679</v>
      </c>
      <c r="O8" s="2">
        <v>0</v>
      </c>
      <c r="P8" s="2">
        <f t="shared" si="6"/>
        <v>44.000000000000021</v>
      </c>
      <c r="Q8" s="2">
        <f t="shared" si="7"/>
        <v>0</v>
      </c>
      <c r="R8" s="1">
        <f t="shared" si="8"/>
        <v>25109.920000000009</v>
      </c>
      <c r="S8" s="2">
        <v>0.32846715328467202</v>
      </c>
      <c r="T8" s="2">
        <v>0</v>
      </c>
      <c r="U8" s="2">
        <f t="shared" si="9"/>
        <v>45.000000000000064</v>
      </c>
      <c r="V8" s="2">
        <f t="shared" si="10"/>
        <v>0</v>
      </c>
      <c r="W8" s="1">
        <f t="shared" si="11"/>
        <v>37718.550000000054</v>
      </c>
      <c r="X8" s="2">
        <v>9.4890510948905105E-2</v>
      </c>
      <c r="Y8" s="2">
        <v>0.452554744525547</v>
      </c>
      <c r="Z8" s="2">
        <v>0.145985401459854</v>
      </c>
      <c r="AA8" s="2">
        <v>0.102189781021898</v>
      </c>
      <c r="AB8" s="2">
        <v>0.153284671532847</v>
      </c>
      <c r="AC8" s="2">
        <v>2.9197080291970798E-2</v>
      </c>
      <c r="AD8" s="2">
        <f t="shared" ref="AD8:AI8" si="59">$F8*X8</f>
        <v>13</v>
      </c>
      <c r="AE8" s="2">
        <f t="shared" si="59"/>
        <v>61.999999999999936</v>
      </c>
      <c r="AF8" s="2">
        <f t="shared" si="59"/>
        <v>20</v>
      </c>
      <c r="AG8" s="2">
        <f t="shared" si="59"/>
        <v>14.000000000000027</v>
      </c>
      <c r="AH8" s="2">
        <f t="shared" si="59"/>
        <v>21.000000000000039</v>
      </c>
      <c r="AI8" s="2">
        <f t="shared" si="59"/>
        <v>3.9999999999999996</v>
      </c>
      <c r="AJ8" s="1">
        <f t="shared" ref="AJ8:AO8" si="60">AD8*AJ$3</f>
        <v>3554.85</v>
      </c>
      <c r="AK8" s="1">
        <f t="shared" si="60"/>
        <v>20639.799999999977</v>
      </c>
      <c r="AL8" s="1">
        <f t="shared" si="60"/>
        <v>10462.4</v>
      </c>
      <c r="AM8" s="1">
        <f t="shared" si="60"/>
        <v>7989.5200000000141</v>
      </c>
      <c r="AN8" s="1">
        <f t="shared" si="60"/>
        <v>12733.350000000024</v>
      </c>
      <c r="AO8" s="1">
        <f t="shared" si="60"/>
        <v>3186.3199999999997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f t="shared" ref="AV8:BA8" si="61">$I8*AP8</f>
        <v>0</v>
      </c>
      <c r="AW8" s="2">
        <f t="shared" si="61"/>
        <v>0</v>
      </c>
      <c r="AX8" s="2">
        <f t="shared" si="61"/>
        <v>0</v>
      </c>
      <c r="AY8" s="2">
        <f t="shared" si="61"/>
        <v>0</v>
      </c>
      <c r="AZ8" s="2">
        <f t="shared" si="61"/>
        <v>0</v>
      </c>
      <c r="BA8" s="2">
        <f t="shared" si="61"/>
        <v>0</v>
      </c>
      <c r="BB8" s="1">
        <f t="shared" ref="BB8:BG8" si="62">AV8*BB$4</f>
        <v>0</v>
      </c>
      <c r="BC8" s="1">
        <f t="shared" si="62"/>
        <v>0</v>
      </c>
      <c r="BD8" s="1">
        <f t="shared" si="62"/>
        <v>0</v>
      </c>
      <c r="BE8" s="1">
        <f t="shared" si="62"/>
        <v>0</v>
      </c>
      <c r="BF8" s="1">
        <f t="shared" si="62"/>
        <v>0</v>
      </c>
      <c r="BG8" s="1">
        <f t="shared" si="62"/>
        <v>0</v>
      </c>
      <c r="BH8" s="1">
        <f t="shared" si="16"/>
        <v>58566.240000000013</v>
      </c>
      <c r="BI8" s="2">
        <v>0.230769230769231</v>
      </c>
      <c r="BJ8" s="2">
        <v>0</v>
      </c>
      <c r="BK8" s="2">
        <f t="shared" si="17"/>
        <v>31.615384615384649</v>
      </c>
      <c r="BL8" s="2">
        <f t="shared" si="18"/>
        <v>0</v>
      </c>
      <c r="BM8" s="1">
        <f t="shared" si="19"/>
        <v>21801.020769230792</v>
      </c>
      <c r="BN8" s="2">
        <v>0.31511470985155215</v>
      </c>
      <c r="BO8" s="2">
        <f t="shared" si="20"/>
        <v>43.170715249662642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f t="shared" si="21"/>
        <v>0</v>
      </c>
      <c r="CA8" s="2">
        <f t="shared" si="22"/>
        <v>0</v>
      </c>
      <c r="CB8" s="1">
        <f t="shared" si="23"/>
        <v>59282.026180836743</v>
      </c>
      <c r="CC8" s="2">
        <v>3.6496350364963501E-2</v>
      </c>
      <c r="CD8" s="2">
        <v>0</v>
      </c>
      <c r="CE8" s="2">
        <f t="shared" si="24"/>
        <v>0</v>
      </c>
      <c r="CF8" s="2">
        <f t="shared" si="25"/>
        <v>0</v>
      </c>
      <c r="CG8" s="1">
        <f t="shared" si="26"/>
        <v>0</v>
      </c>
      <c r="CH8" s="2">
        <v>152181.76000000001</v>
      </c>
      <c r="CI8" s="2">
        <v>22013</v>
      </c>
      <c r="CJ8" s="1">
        <f t="shared" si="27"/>
        <v>603485</v>
      </c>
      <c r="CK8" s="2">
        <f t="shared" si="28"/>
        <v>0</v>
      </c>
      <c r="CL8" s="2">
        <v>1031811.5435</v>
      </c>
      <c r="CM8" s="22">
        <v>26105.363600000001</v>
      </c>
      <c r="CN8" s="22">
        <v>22013</v>
      </c>
      <c r="CO8" s="2">
        <f t="shared" si="29"/>
        <v>152181.76000000001</v>
      </c>
      <c r="CP8" s="2">
        <f t="shared" si="30"/>
        <v>883722.14709999994</v>
      </c>
      <c r="CQ8" s="2">
        <v>146</v>
      </c>
      <c r="CR8" s="2">
        <f t="shared" si="31"/>
        <v>6052.89141849315</v>
      </c>
      <c r="CS8" s="2">
        <f t="shared" si="32"/>
        <v>6063.1813339045884</v>
      </c>
      <c r="CT8" s="2">
        <f t="shared" si="33"/>
        <v>830655.84274492867</v>
      </c>
      <c r="CU8" s="2">
        <f t="shared" si="34"/>
        <v>22013</v>
      </c>
      <c r="CV8" s="2">
        <f t="shared" si="35"/>
        <v>152181.76000000001</v>
      </c>
      <c r="CW8" s="2">
        <f t="shared" si="36"/>
        <v>1004850.6027449287</v>
      </c>
      <c r="CX8" s="1">
        <f t="shared" si="37"/>
        <v>0</v>
      </c>
      <c r="CY8" s="1">
        <f t="shared" si="38"/>
        <v>1009201.5169500676</v>
      </c>
      <c r="CZ8" s="2">
        <v>1</v>
      </c>
      <c r="DA8" s="2">
        <f t="shared" si="39"/>
        <v>1646.74</v>
      </c>
      <c r="DB8" s="2">
        <f t="shared" si="40"/>
        <v>2718.9230769230799</v>
      </c>
      <c r="DC8" s="2">
        <f t="shared" si="41"/>
        <v>463.06</v>
      </c>
      <c r="DD8" s="2">
        <f t="shared" si="42"/>
        <v>413.74</v>
      </c>
      <c r="DE8" s="2">
        <f t="shared" si="43"/>
        <v>1205.6000000000001</v>
      </c>
      <c r="DF8" s="2">
        <f t="shared" si="44"/>
        <v>3575.7000000000003</v>
      </c>
      <c r="DG8" s="1">
        <f t="shared" si="45"/>
        <v>10023.76307692308</v>
      </c>
      <c r="DH8" s="1">
        <f t="shared" si="46"/>
        <v>284897.7669500676</v>
      </c>
      <c r="DI8" s="9">
        <v>1</v>
      </c>
      <c r="DJ8" s="23">
        <v>5.36</v>
      </c>
      <c r="DK8" s="24">
        <v>0</v>
      </c>
      <c r="DL8" s="24">
        <v>0.19</v>
      </c>
      <c r="DM8" s="24">
        <v>0.45</v>
      </c>
      <c r="DN8" s="24">
        <v>0</v>
      </c>
      <c r="DO8" s="25">
        <v>6</v>
      </c>
      <c r="DP8" s="9">
        <v>7158</v>
      </c>
      <c r="DQ8" s="9">
        <v>6815</v>
      </c>
      <c r="DR8" s="9">
        <v>0</v>
      </c>
      <c r="DS8" s="9" t="str">
        <f t="shared" si="47"/>
        <v>7991622</v>
      </c>
      <c r="DT8" s="9">
        <f t="shared" si="48"/>
        <v>30309.137560000006</v>
      </c>
      <c r="DU8" s="26"/>
      <c r="DV8" s="9"/>
      <c r="DW8" s="9"/>
      <c r="DX8" s="9">
        <v>1009201.5169500675</v>
      </c>
      <c r="DY8" s="9">
        <v>284897.76695006766</v>
      </c>
      <c r="DZ8" s="9">
        <v>1004850.6027449287</v>
      </c>
      <c r="EA8" s="9">
        <v>1009201.5169500675</v>
      </c>
      <c r="EB8" s="9">
        <v>10023.76307692308</v>
      </c>
      <c r="EC8" s="9">
        <v>999177.75387314439</v>
      </c>
      <c r="ED8" s="9">
        <v>5.36</v>
      </c>
      <c r="EE8" s="9">
        <v>0</v>
      </c>
      <c r="EF8" s="9">
        <v>0.19</v>
      </c>
      <c r="EG8" s="9">
        <v>0.45</v>
      </c>
      <c r="EH8" s="9">
        <v>0</v>
      </c>
      <c r="EI8" s="9">
        <v>6</v>
      </c>
      <c r="EJ8" s="9">
        <v>0</v>
      </c>
      <c r="EK8" s="9">
        <v>30309.13756000001</v>
      </c>
      <c r="EL8" s="9">
        <v>6815</v>
      </c>
      <c r="EM8" s="9">
        <v>7158</v>
      </c>
      <c r="EN8" s="9">
        <v>1040973.9302609747</v>
      </c>
      <c r="EO8" s="9">
        <v>1042431.6994728057</v>
      </c>
      <c r="EP8" s="9">
        <f t="shared" ref="EP8:EP62" si="63">ROUND(DX8-(CY8-CX8),0)</f>
        <v>0</v>
      </c>
      <c r="EQ8" s="9">
        <f t="shared" si="49"/>
        <v>0</v>
      </c>
      <c r="ER8" s="9">
        <f t="shared" si="50"/>
        <v>0</v>
      </c>
      <c r="ES8" s="9">
        <f t="shared" si="51"/>
        <v>0</v>
      </c>
      <c r="ET8" s="9">
        <f t="shared" si="52"/>
        <v>0</v>
      </c>
      <c r="EU8" s="9">
        <f t="shared" si="53"/>
        <v>0</v>
      </c>
      <c r="EV8" s="9">
        <f t="shared" ref="EV8:FA8" si="64">ROUND(ED8-DJ8,0)</f>
        <v>0</v>
      </c>
      <c r="EW8" s="9">
        <f t="shared" si="64"/>
        <v>0</v>
      </c>
      <c r="EX8" s="9">
        <f t="shared" si="64"/>
        <v>0</v>
      </c>
      <c r="EY8" s="9">
        <f t="shared" si="64"/>
        <v>0</v>
      </c>
      <c r="EZ8" s="9">
        <f t="shared" si="64"/>
        <v>0</v>
      </c>
      <c r="FA8" s="9">
        <f t="shared" si="64"/>
        <v>0</v>
      </c>
      <c r="FB8" s="9">
        <f t="shared" si="55"/>
        <v>0</v>
      </c>
      <c r="FC8" s="9">
        <f t="shared" si="56"/>
        <v>0</v>
      </c>
      <c r="FD8" s="9">
        <f t="shared" si="57"/>
        <v>0</v>
      </c>
      <c r="FE8" s="9">
        <f t="shared" si="58"/>
        <v>0</v>
      </c>
      <c r="FF8" s="9"/>
      <c r="FG8" s="9"/>
      <c r="FH8" s="9"/>
      <c r="FI8" s="27"/>
      <c r="FJ8" s="21">
        <v>2730</v>
      </c>
      <c r="FK8" s="28">
        <v>1755</v>
      </c>
      <c r="FL8" s="28">
        <v>1260</v>
      </c>
      <c r="FM8" s="29">
        <v>0</v>
      </c>
      <c r="FN8" s="28">
        <v>0</v>
      </c>
      <c r="FO8" s="9"/>
    </row>
    <row r="9" spans="1:171">
      <c r="A9" s="2" t="s">
        <v>182</v>
      </c>
      <c r="B9" s="2">
        <v>100223</v>
      </c>
      <c r="C9" s="2">
        <v>2042150</v>
      </c>
      <c r="D9" s="2" t="s">
        <v>183</v>
      </c>
      <c r="E9" s="2">
        <v>438</v>
      </c>
      <c r="F9" s="2">
        <v>438</v>
      </c>
      <c r="G9" s="2">
        <v>60</v>
      </c>
      <c r="H9" s="2">
        <v>378</v>
      </c>
      <c r="I9" s="2">
        <v>0</v>
      </c>
      <c r="J9" s="2">
        <v>0</v>
      </c>
      <c r="K9" s="2">
        <v>0</v>
      </c>
      <c r="L9" s="2">
        <v>1</v>
      </c>
      <c r="M9" s="1">
        <f t="shared" si="5"/>
        <v>2022246</v>
      </c>
      <c r="N9" s="2">
        <v>0.40182648401826498</v>
      </c>
      <c r="O9" s="2">
        <v>0</v>
      </c>
      <c r="P9" s="2">
        <f t="shared" si="6"/>
        <v>176.00000000000006</v>
      </c>
      <c r="Q9" s="2">
        <f t="shared" si="7"/>
        <v>0</v>
      </c>
      <c r="R9" s="1">
        <f t="shared" si="8"/>
        <v>100439.68000000002</v>
      </c>
      <c r="S9" s="2">
        <v>0.408675799086758</v>
      </c>
      <c r="T9" s="2">
        <v>0</v>
      </c>
      <c r="U9" s="2">
        <f t="shared" si="9"/>
        <v>179</v>
      </c>
      <c r="V9" s="2">
        <f t="shared" si="10"/>
        <v>0</v>
      </c>
      <c r="W9" s="1">
        <f t="shared" si="11"/>
        <v>150036.01</v>
      </c>
      <c r="X9" s="2">
        <v>9.5890410958904104E-2</v>
      </c>
      <c r="Y9" s="2">
        <v>0.40182648401826498</v>
      </c>
      <c r="Z9" s="2">
        <v>5.7077625570776301E-2</v>
      </c>
      <c r="AA9" s="2">
        <v>0.22374429223744299</v>
      </c>
      <c r="AB9" s="2">
        <v>0.13470319634703201</v>
      </c>
      <c r="AC9" s="2">
        <v>6.1643835616438401E-2</v>
      </c>
      <c r="AD9" s="2">
        <f t="shared" ref="AD9:AI9" si="65">$F9*X9</f>
        <v>42</v>
      </c>
      <c r="AE9" s="2">
        <f t="shared" si="65"/>
        <v>176.00000000000006</v>
      </c>
      <c r="AF9" s="2">
        <f t="shared" si="65"/>
        <v>25.000000000000021</v>
      </c>
      <c r="AG9" s="2">
        <f t="shared" si="65"/>
        <v>98.000000000000028</v>
      </c>
      <c r="AH9" s="2">
        <f t="shared" si="65"/>
        <v>59.000000000000021</v>
      </c>
      <c r="AI9" s="2">
        <f t="shared" si="65"/>
        <v>27.000000000000021</v>
      </c>
      <c r="AJ9" s="1">
        <f t="shared" ref="AJ9:AO9" si="66">AD9*AJ$3</f>
        <v>11484.9</v>
      </c>
      <c r="AK9" s="1">
        <f t="shared" si="66"/>
        <v>58590.400000000016</v>
      </c>
      <c r="AL9" s="1">
        <f t="shared" si="66"/>
        <v>13078.000000000011</v>
      </c>
      <c r="AM9" s="1">
        <f t="shared" si="66"/>
        <v>55926.640000000014</v>
      </c>
      <c r="AN9" s="1">
        <f t="shared" si="66"/>
        <v>35774.650000000016</v>
      </c>
      <c r="AO9" s="1">
        <f t="shared" si="66"/>
        <v>21507.660000000018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f t="shared" ref="AV9:BA9" si="67">$I9*AP9</f>
        <v>0</v>
      </c>
      <c r="AW9" s="2">
        <f t="shared" si="67"/>
        <v>0</v>
      </c>
      <c r="AX9" s="2">
        <f t="shared" si="67"/>
        <v>0</v>
      </c>
      <c r="AY9" s="2">
        <f t="shared" si="67"/>
        <v>0</v>
      </c>
      <c r="AZ9" s="2">
        <f t="shared" si="67"/>
        <v>0</v>
      </c>
      <c r="BA9" s="2">
        <f t="shared" si="67"/>
        <v>0</v>
      </c>
      <c r="BB9" s="1">
        <f t="shared" ref="BB9:BG9" si="68">AV9*BB$4</f>
        <v>0</v>
      </c>
      <c r="BC9" s="1">
        <f t="shared" si="68"/>
        <v>0</v>
      </c>
      <c r="BD9" s="1">
        <f t="shared" si="68"/>
        <v>0</v>
      </c>
      <c r="BE9" s="1">
        <f t="shared" si="68"/>
        <v>0</v>
      </c>
      <c r="BF9" s="1">
        <f t="shared" si="68"/>
        <v>0</v>
      </c>
      <c r="BG9" s="1">
        <f t="shared" si="68"/>
        <v>0</v>
      </c>
      <c r="BH9" s="1">
        <f t="shared" si="16"/>
        <v>196362.25000000012</v>
      </c>
      <c r="BI9" s="2">
        <v>0.216931216931217</v>
      </c>
      <c r="BJ9" s="2">
        <v>0</v>
      </c>
      <c r="BK9" s="2">
        <f t="shared" si="17"/>
        <v>95.015873015873041</v>
      </c>
      <c r="BL9" s="2">
        <f t="shared" si="18"/>
        <v>0</v>
      </c>
      <c r="BM9" s="1">
        <f t="shared" si="19"/>
        <v>65520.095555555577</v>
      </c>
      <c r="BN9" s="2">
        <v>0.17738819665797353</v>
      </c>
      <c r="BO9" s="2">
        <f t="shared" si="20"/>
        <v>77.696030136192405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f t="shared" si="21"/>
        <v>0</v>
      </c>
      <c r="CA9" s="2">
        <f t="shared" si="22"/>
        <v>0</v>
      </c>
      <c r="CB9" s="1">
        <f t="shared" si="23"/>
        <v>106692.18858301941</v>
      </c>
      <c r="CC9" s="2">
        <v>7.5342465753424695E-2</v>
      </c>
      <c r="CD9" s="2">
        <v>0</v>
      </c>
      <c r="CE9" s="2">
        <f t="shared" si="24"/>
        <v>6.7200000000000175</v>
      </c>
      <c r="CF9" s="2">
        <f t="shared" si="25"/>
        <v>0</v>
      </c>
      <c r="CG9" s="1">
        <f t="shared" si="26"/>
        <v>7550.1216000000195</v>
      </c>
      <c r="CH9" s="2">
        <v>152181.76000000001</v>
      </c>
      <c r="CI9" s="2">
        <v>52636</v>
      </c>
      <c r="CJ9" s="1">
        <f t="shared" si="27"/>
        <v>1929390</v>
      </c>
      <c r="CK9" s="2">
        <f t="shared" si="28"/>
        <v>0</v>
      </c>
      <c r="CL9" s="2">
        <v>3056903.2604</v>
      </c>
      <c r="CM9" s="22">
        <v>79157.127900000007</v>
      </c>
      <c r="CN9" s="22">
        <v>52636</v>
      </c>
      <c r="CO9" s="2">
        <f t="shared" si="29"/>
        <v>152181.76000000001</v>
      </c>
      <c r="CP9" s="2">
        <f t="shared" si="30"/>
        <v>2931242.6283</v>
      </c>
      <c r="CQ9" s="2">
        <v>480</v>
      </c>
      <c r="CR9" s="2">
        <f t="shared" si="31"/>
        <v>6106.7554756250001</v>
      </c>
      <c r="CS9" s="2">
        <f t="shared" si="32"/>
        <v>6117.136959933563</v>
      </c>
      <c r="CT9" s="2">
        <f t="shared" si="33"/>
        <v>2679305.9884509007</v>
      </c>
      <c r="CU9" s="2">
        <f t="shared" si="34"/>
        <v>52636</v>
      </c>
      <c r="CV9" s="2">
        <f t="shared" si="35"/>
        <v>152181.76000000001</v>
      </c>
      <c r="CW9" s="2">
        <f t="shared" si="36"/>
        <v>2884123.7484509004</v>
      </c>
      <c r="CX9" s="1">
        <f t="shared" si="37"/>
        <v>30459.642712325207</v>
      </c>
      <c r="CY9" s="1">
        <f t="shared" si="38"/>
        <v>2884123.7484509009</v>
      </c>
      <c r="CZ9" s="2">
        <v>1</v>
      </c>
      <c r="DA9" s="2">
        <f t="shared" si="39"/>
        <v>5264.76</v>
      </c>
      <c r="DB9" s="2">
        <f t="shared" si="40"/>
        <v>8171.3650793650813</v>
      </c>
      <c r="DC9" s="2">
        <f t="shared" si="41"/>
        <v>1480.44</v>
      </c>
      <c r="DD9" s="2">
        <f t="shared" si="42"/>
        <v>1322.76</v>
      </c>
      <c r="DE9" s="2">
        <f t="shared" si="43"/>
        <v>3854.4</v>
      </c>
      <c r="DF9" s="2">
        <f t="shared" si="44"/>
        <v>11431.800000000001</v>
      </c>
      <c r="DG9" s="1">
        <f t="shared" si="45"/>
        <v>31525.525079365085</v>
      </c>
      <c r="DH9" s="1">
        <f t="shared" si="46"/>
        <v>869942.48573857511</v>
      </c>
      <c r="DI9" s="9">
        <v>1</v>
      </c>
      <c r="DJ9" s="23">
        <v>5.36</v>
      </c>
      <c r="DK9" s="24">
        <v>0.05</v>
      </c>
      <c r="DL9" s="24">
        <v>0.15</v>
      </c>
      <c r="DM9" s="24">
        <v>0.45</v>
      </c>
      <c r="DN9" s="24">
        <v>0</v>
      </c>
      <c r="DO9" s="25">
        <v>6.01</v>
      </c>
      <c r="DP9" s="9">
        <v>8417</v>
      </c>
      <c r="DQ9" s="9">
        <v>28130</v>
      </c>
      <c r="DR9" s="9">
        <v>0</v>
      </c>
      <c r="DS9" s="9" t="str">
        <f t="shared" si="47"/>
        <v>6569149</v>
      </c>
      <c r="DT9" s="9">
        <f t="shared" si="48"/>
        <v>89463.852159999995</v>
      </c>
      <c r="DU9" s="26"/>
      <c r="DV9" s="9"/>
      <c r="DW9" s="9"/>
      <c r="DX9" s="9">
        <v>2853664.1057385756</v>
      </c>
      <c r="DY9" s="9">
        <v>869942.48573857511</v>
      </c>
      <c r="DZ9" s="9">
        <v>2884123.7484509004</v>
      </c>
      <c r="EA9" s="9">
        <v>2884123.7484509004</v>
      </c>
      <c r="EB9" s="9">
        <v>31525.525079365085</v>
      </c>
      <c r="EC9" s="9">
        <v>2852598.2233715355</v>
      </c>
      <c r="ED9" s="9">
        <v>5.36</v>
      </c>
      <c r="EE9" s="9">
        <v>0.05</v>
      </c>
      <c r="EF9" s="9">
        <v>0.15</v>
      </c>
      <c r="EG9" s="9">
        <v>0.45</v>
      </c>
      <c r="EH9" s="9">
        <v>0</v>
      </c>
      <c r="EI9" s="9">
        <v>6.01</v>
      </c>
      <c r="EJ9" s="9">
        <v>0</v>
      </c>
      <c r="EK9" s="9">
        <v>89463.852159999995</v>
      </c>
      <c r="EL9" s="9">
        <v>28130</v>
      </c>
      <c r="EM9" s="9">
        <v>8417</v>
      </c>
      <c r="EN9" s="9">
        <v>2978286.7480701786</v>
      </c>
      <c r="EO9" s="9">
        <v>2982985.8899722854</v>
      </c>
      <c r="EP9" s="9">
        <f t="shared" si="63"/>
        <v>0</v>
      </c>
      <c r="EQ9" s="9">
        <f t="shared" si="49"/>
        <v>0</v>
      </c>
      <c r="ER9" s="9">
        <f t="shared" si="50"/>
        <v>0</v>
      </c>
      <c r="ES9" s="9">
        <f t="shared" si="51"/>
        <v>0</v>
      </c>
      <c r="ET9" s="9">
        <f t="shared" si="52"/>
        <v>0</v>
      </c>
      <c r="EU9" s="9">
        <f t="shared" si="53"/>
        <v>0</v>
      </c>
      <c r="EV9" s="9">
        <f t="shared" ref="EV9:FA9" si="69">ROUND(ED9-DJ9,0)</f>
        <v>0</v>
      </c>
      <c r="EW9" s="9">
        <f t="shared" si="69"/>
        <v>0</v>
      </c>
      <c r="EX9" s="9">
        <f t="shared" si="69"/>
        <v>0</v>
      </c>
      <c r="EY9" s="9">
        <f t="shared" si="69"/>
        <v>0</v>
      </c>
      <c r="EZ9" s="9">
        <f t="shared" si="69"/>
        <v>0</v>
      </c>
      <c r="FA9" s="9">
        <f t="shared" si="69"/>
        <v>0</v>
      </c>
      <c r="FB9" s="9">
        <f t="shared" si="55"/>
        <v>0</v>
      </c>
      <c r="FC9" s="9">
        <f t="shared" si="56"/>
        <v>0</v>
      </c>
      <c r="FD9" s="9">
        <f t="shared" si="57"/>
        <v>0</v>
      </c>
      <c r="FE9" s="9">
        <f t="shared" si="58"/>
        <v>0</v>
      </c>
      <c r="FF9" s="9"/>
      <c r="FG9" s="9"/>
      <c r="FH9" s="9"/>
      <c r="FI9" s="27"/>
      <c r="FJ9" s="21">
        <v>12909</v>
      </c>
      <c r="FK9" s="28">
        <v>7098</v>
      </c>
      <c r="FL9" s="28">
        <v>6588</v>
      </c>
      <c r="FM9" s="29">
        <v>1140</v>
      </c>
      <c r="FN9" s="28">
        <v>0</v>
      </c>
      <c r="FO9" s="9"/>
    </row>
    <row r="10" spans="1:171">
      <c r="A10" s="2" t="s">
        <v>184</v>
      </c>
      <c r="B10" s="2">
        <v>100224</v>
      </c>
      <c r="C10" s="2">
        <v>2042155</v>
      </c>
      <c r="D10" s="2" t="s">
        <v>185</v>
      </c>
      <c r="E10" s="2">
        <v>117</v>
      </c>
      <c r="F10" s="2">
        <v>117</v>
      </c>
      <c r="G10" s="2">
        <v>14</v>
      </c>
      <c r="H10" s="2">
        <v>103</v>
      </c>
      <c r="I10" s="2">
        <v>0</v>
      </c>
      <c r="J10" s="2">
        <v>0</v>
      </c>
      <c r="K10" s="2">
        <v>0</v>
      </c>
      <c r="L10" s="2">
        <v>1</v>
      </c>
      <c r="M10" s="1">
        <f t="shared" si="5"/>
        <v>540189</v>
      </c>
      <c r="N10" s="2">
        <v>0.658119658119658</v>
      </c>
      <c r="O10" s="2">
        <v>0</v>
      </c>
      <c r="P10" s="2">
        <f t="shared" si="6"/>
        <v>76.999999999999986</v>
      </c>
      <c r="Q10" s="2">
        <f t="shared" si="7"/>
        <v>0</v>
      </c>
      <c r="R10" s="1">
        <f t="shared" si="8"/>
        <v>43942.359999999986</v>
      </c>
      <c r="S10" s="2">
        <v>0.683760683760684</v>
      </c>
      <c r="T10" s="2">
        <v>0</v>
      </c>
      <c r="U10" s="2">
        <f t="shared" si="9"/>
        <v>80.000000000000028</v>
      </c>
      <c r="V10" s="2">
        <f t="shared" si="10"/>
        <v>0</v>
      </c>
      <c r="W10" s="1">
        <f t="shared" si="11"/>
        <v>67055.200000000026</v>
      </c>
      <c r="X10" s="2">
        <v>7.69230769230769E-2</v>
      </c>
      <c r="Y10" s="2">
        <v>9.4017094017094002E-2</v>
      </c>
      <c r="Z10" s="2">
        <v>0.19658119658119699</v>
      </c>
      <c r="AA10" s="2">
        <v>0.11965811965812</v>
      </c>
      <c r="AB10" s="2">
        <v>0.29914529914529903</v>
      </c>
      <c r="AC10" s="2">
        <v>0.11111111111111099</v>
      </c>
      <c r="AD10" s="2">
        <f t="shared" ref="AD10:AI10" si="70">$F10*X10</f>
        <v>8.9999999999999964</v>
      </c>
      <c r="AE10" s="2">
        <f t="shared" si="70"/>
        <v>10.999999999999998</v>
      </c>
      <c r="AF10" s="2">
        <f t="shared" si="70"/>
        <v>23.00000000000005</v>
      </c>
      <c r="AG10" s="2">
        <f t="shared" si="70"/>
        <v>14.000000000000039</v>
      </c>
      <c r="AH10" s="2">
        <f t="shared" si="70"/>
        <v>34.999999999999986</v>
      </c>
      <c r="AI10" s="2">
        <f t="shared" si="70"/>
        <v>12.999999999999986</v>
      </c>
      <c r="AJ10" s="1">
        <f t="shared" ref="AJ10:AO10" si="71">AD10*AJ$3</f>
        <v>2461.0499999999988</v>
      </c>
      <c r="AK10" s="1">
        <f t="shared" si="71"/>
        <v>3661.8999999999992</v>
      </c>
      <c r="AL10" s="1">
        <f t="shared" si="71"/>
        <v>12031.760000000026</v>
      </c>
      <c r="AM10" s="1">
        <f t="shared" si="71"/>
        <v>7989.5200000000214</v>
      </c>
      <c r="AN10" s="1">
        <f t="shared" si="71"/>
        <v>21222.249999999993</v>
      </c>
      <c r="AO10" s="1">
        <f t="shared" si="71"/>
        <v>10355.53999999999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f t="shared" ref="AV10:BA10" si="72">$I10*AP10</f>
        <v>0</v>
      </c>
      <c r="AW10" s="2">
        <f t="shared" si="72"/>
        <v>0</v>
      </c>
      <c r="AX10" s="2">
        <f t="shared" si="72"/>
        <v>0</v>
      </c>
      <c r="AY10" s="2">
        <f t="shared" si="72"/>
        <v>0</v>
      </c>
      <c r="AZ10" s="2">
        <f t="shared" si="72"/>
        <v>0</v>
      </c>
      <c r="BA10" s="2">
        <f t="shared" si="72"/>
        <v>0</v>
      </c>
      <c r="BB10" s="1">
        <f t="shared" ref="BB10:BG10" si="73">AV10*BB$4</f>
        <v>0</v>
      </c>
      <c r="BC10" s="1">
        <f t="shared" si="73"/>
        <v>0</v>
      </c>
      <c r="BD10" s="1">
        <f t="shared" si="73"/>
        <v>0</v>
      </c>
      <c r="BE10" s="1">
        <f t="shared" si="73"/>
        <v>0</v>
      </c>
      <c r="BF10" s="1">
        <f t="shared" si="73"/>
        <v>0</v>
      </c>
      <c r="BG10" s="1">
        <f t="shared" si="73"/>
        <v>0</v>
      </c>
      <c r="BH10" s="1">
        <f t="shared" si="16"/>
        <v>57722.020000000033</v>
      </c>
      <c r="BI10" s="2">
        <v>0.213592233009709</v>
      </c>
      <c r="BJ10" s="2">
        <v>0</v>
      </c>
      <c r="BK10" s="2">
        <f t="shared" si="17"/>
        <v>24.990291262135955</v>
      </c>
      <c r="BL10" s="2">
        <f t="shared" si="18"/>
        <v>0</v>
      </c>
      <c r="BM10" s="1">
        <f t="shared" si="19"/>
        <v>17232.555145631093</v>
      </c>
      <c r="BN10" s="2">
        <v>0.23129251700680276</v>
      </c>
      <c r="BO10" s="2">
        <f t="shared" si="20"/>
        <v>27.061224489795922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f t="shared" si="21"/>
        <v>0</v>
      </c>
      <c r="CA10" s="2">
        <f t="shared" si="22"/>
        <v>0</v>
      </c>
      <c r="CB10" s="1">
        <f t="shared" si="23"/>
        <v>37160.473469387762</v>
      </c>
      <c r="CC10" s="2">
        <v>8.54700854700855E-2</v>
      </c>
      <c r="CD10" s="2">
        <v>0</v>
      </c>
      <c r="CE10" s="2">
        <f t="shared" si="24"/>
        <v>2.9800000000000035</v>
      </c>
      <c r="CF10" s="2">
        <f t="shared" si="25"/>
        <v>0</v>
      </c>
      <c r="CG10" s="1">
        <f t="shared" si="26"/>
        <v>3348.1194000000037</v>
      </c>
      <c r="CH10" s="2">
        <v>152181.76000000001</v>
      </c>
      <c r="CI10" s="2">
        <v>33162</v>
      </c>
      <c r="CJ10" s="1">
        <f t="shared" si="27"/>
        <v>515385</v>
      </c>
      <c r="CK10" s="2">
        <f t="shared" si="28"/>
        <v>0</v>
      </c>
      <c r="CL10" s="2">
        <v>1051931.612</v>
      </c>
      <c r="CM10" s="22">
        <v>29492.050299999999</v>
      </c>
      <c r="CN10" s="22">
        <v>33162</v>
      </c>
      <c r="CO10" s="2">
        <f t="shared" si="29"/>
        <v>152181.76000000001</v>
      </c>
      <c r="CP10" s="2">
        <f t="shared" si="30"/>
        <v>896079.90229999996</v>
      </c>
      <c r="CQ10" s="2">
        <v>136</v>
      </c>
      <c r="CR10" s="2">
        <f t="shared" si="31"/>
        <v>6588.8228110294112</v>
      </c>
      <c r="CS10" s="2">
        <f t="shared" si="32"/>
        <v>6600.0238098081618</v>
      </c>
      <c r="CT10" s="2">
        <f t="shared" si="33"/>
        <v>772202.78574755497</v>
      </c>
      <c r="CU10" s="2">
        <f t="shared" si="34"/>
        <v>33162</v>
      </c>
      <c r="CV10" s="2">
        <f t="shared" si="35"/>
        <v>152181.76000000001</v>
      </c>
      <c r="CW10" s="2">
        <f t="shared" si="36"/>
        <v>957546.54574755498</v>
      </c>
      <c r="CX10" s="1">
        <f t="shared" si="37"/>
        <v>5553.0577325361082</v>
      </c>
      <c r="CY10" s="1">
        <f t="shared" si="38"/>
        <v>957546.54574755498</v>
      </c>
      <c r="CZ10" s="2">
        <v>1</v>
      </c>
      <c r="DA10" s="2">
        <f t="shared" si="39"/>
        <v>1406.34</v>
      </c>
      <c r="DB10" s="2">
        <f t="shared" si="40"/>
        <v>2149.1650485436921</v>
      </c>
      <c r="DC10" s="2">
        <f t="shared" si="41"/>
        <v>395.46</v>
      </c>
      <c r="DD10" s="2">
        <f t="shared" si="42"/>
        <v>353.34</v>
      </c>
      <c r="DE10" s="2">
        <f t="shared" si="43"/>
        <v>1029.6000000000001</v>
      </c>
      <c r="DF10" s="2">
        <f t="shared" si="44"/>
        <v>3053.7000000000003</v>
      </c>
      <c r="DG10" s="1">
        <f t="shared" si="45"/>
        <v>8387.6050485436936</v>
      </c>
      <c r="DH10" s="1">
        <f t="shared" si="46"/>
        <v>274350.49801501888</v>
      </c>
      <c r="DI10" s="9">
        <v>1</v>
      </c>
      <c r="DJ10" s="23">
        <v>5.36</v>
      </c>
      <c r="DK10" s="24">
        <v>0.64</v>
      </c>
      <c r="DL10" s="24">
        <v>0.16</v>
      </c>
      <c r="DM10" s="24">
        <v>0.45</v>
      </c>
      <c r="DN10" s="24">
        <v>0</v>
      </c>
      <c r="DO10" s="25">
        <v>6.61</v>
      </c>
      <c r="DP10" s="9">
        <v>7171</v>
      </c>
      <c r="DQ10" s="9">
        <v>13340</v>
      </c>
      <c r="DR10" s="9">
        <v>0</v>
      </c>
      <c r="DS10" s="9" t="str">
        <f t="shared" si="47"/>
        <v>6469459</v>
      </c>
      <c r="DT10" s="9">
        <f t="shared" si="48"/>
        <v>31807.176760000002</v>
      </c>
      <c r="DU10" s="26"/>
      <c r="DV10" s="9"/>
      <c r="DW10" s="9"/>
      <c r="DX10" s="9">
        <v>951993.48801501899</v>
      </c>
      <c r="DY10" s="9">
        <v>274350.49801501888</v>
      </c>
      <c r="DZ10" s="9">
        <v>957546.54574755498</v>
      </c>
      <c r="EA10" s="9">
        <v>957546.54574755498</v>
      </c>
      <c r="EB10" s="9">
        <v>8387.6050485436936</v>
      </c>
      <c r="EC10" s="9">
        <v>949158.94069901132</v>
      </c>
      <c r="ED10" s="9">
        <v>5.36</v>
      </c>
      <c r="EE10" s="9">
        <v>0.64</v>
      </c>
      <c r="EF10" s="9">
        <v>0.16</v>
      </c>
      <c r="EG10" s="9">
        <v>0.45</v>
      </c>
      <c r="EH10" s="9">
        <v>0</v>
      </c>
      <c r="EI10" s="9">
        <v>6.61</v>
      </c>
      <c r="EJ10" s="9">
        <v>0</v>
      </c>
      <c r="EK10" s="9">
        <v>31807.176760000006</v>
      </c>
      <c r="EL10" s="9">
        <v>13340</v>
      </c>
      <c r="EM10" s="9">
        <v>7171</v>
      </c>
      <c r="EN10" s="9">
        <v>990712.77817405795</v>
      </c>
      <c r="EO10" s="9">
        <v>992066.15012734104</v>
      </c>
      <c r="EP10" s="9">
        <f t="shared" si="63"/>
        <v>0</v>
      </c>
      <c r="EQ10" s="9">
        <f t="shared" si="49"/>
        <v>0</v>
      </c>
      <c r="ER10" s="9">
        <f t="shared" si="50"/>
        <v>0</v>
      </c>
      <c r="ES10" s="9">
        <f t="shared" si="51"/>
        <v>0</v>
      </c>
      <c r="ET10" s="9">
        <f t="shared" si="52"/>
        <v>0</v>
      </c>
      <c r="EU10" s="9">
        <f t="shared" si="53"/>
        <v>0</v>
      </c>
      <c r="EV10" s="9">
        <f t="shared" ref="EV10:FA10" si="74">ROUND(ED10-DJ10,0)</f>
        <v>0</v>
      </c>
      <c r="EW10" s="9">
        <f t="shared" si="74"/>
        <v>0</v>
      </c>
      <c r="EX10" s="9">
        <f t="shared" si="74"/>
        <v>0</v>
      </c>
      <c r="EY10" s="9">
        <f t="shared" si="74"/>
        <v>0</v>
      </c>
      <c r="EZ10" s="9">
        <f t="shared" si="74"/>
        <v>0</v>
      </c>
      <c r="FA10" s="9">
        <f t="shared" si="74"/>
        <v>0</v>
      </c>
      <c r="FB10" s="9">
        <f t="shared" si="55"/>
        <v>0</v>
      </c>
      <c r="FC10" s="9">
        <f t="shared" si="56"/>
        <v>0</v>
      </c>
      <c r="FD10" s="9">
        <f t="shared" si="57"/>
        <v>0</v>
      </c>
      <c r="FE10" s="9">
        <f t="shared" si="58"/>
        <v>0</v>
      </c>
      <c r="FF10" s="9"/>
      <c r="FG10" s="9"/>
      <c r="FH10" s="9"/>
      <c r="FI10" s="27"/>
      <c r="FJ10" s="21">
        <v>2730</v>
      </c>
      <c r="FK10" s="28">
        <v>3705</v>
      </c>
      <c r="FL10" s="28">
        <v>2700</v>
      </c>
      <c r="FM10" s="29">
        <v>1710</v>
      </c>
      <c r="FN10" s="28">
        <v>0</v>
      </c>
      <c r="FO10" s="9"/>
    </row>
    <row r="11" spans="1:171">
      <c r="A11" s="2" t="s">
        <v>186</v>
      </c>
      <c r="B11" s="2">
        <v>100225</v>
      </c>
      <c r="C11" s="2">
        <v>2042238</v>
      </c>
      <c r="D11" s="2" t="s">
        <v>187</v>
      </c>
      <c r="E11" s="2">
        <v>179</v>
      </c>
      <c r="F11" s="2">
        <v>179</v>
      </c>
      <c r="G11" s="2">
        <v>27</v>
      </c>
      <c r="H11" s="2">
        <v>152</v>
      </c>
      <c r="I11" s="2">
        <v>0</v>
      </c>
      <c r="J11" s="2">
        <v>0</v>
      </c>
      <c r="K11" s="2">
        <v>0</v>
      </c>
      <c r="L11" s="2">
        <v>1</v>
      </c>
      <c r="M11" s="1">
        <f t="shared" si="5"/>
        <v>826443</v>
      </c>
      <c r="N11" s="2">
        <v>0.54189944134078205</v>
      </c>
      <c r="O11" s="2">
        <v>0</v>
      </c>
      <c r="P11" s="2">
        <f t="shared" si="6"/>
        <v>96.999999999999986</v>
      </c>
      <c r="Q11" s="2">
        <f t="shared" si="7"/>
        <v>0</v>
      </c>
      <c r="R11" s="1">
        <f t="shared" si="8"/>
        <v>55355.959999999985</v>
      </c>
      <c r="S11" s="2">
        <v>0.54189944134078205</v>
      </c>
      <c r="T11" s="2">
        <v>0</v>
      </c>
      <c r="U11" s="2">
        <f t="shared" si="9"/>
        <v>96.999999999999986</v>
      </c>
      <c r="V11" s="2">
        <f t="shared" si="10"/>
        <v>0</v>
      </c>
      <c r="W11" s="1">
        <f t="shared" si="11"/>
        <v>81304.429999999993</v>
      </c>
      <c r="X11" s="2">
        <v>2.23463687150838E-2</v>
      </c>
      <c r="Y11" s="2">
        <v>4.4692737430167599E-2</v>
      </c>
      <c r="Z11" s="2">
        <v>0.111731843575419</v>
      </c>
      <c r="AA11" s="2">
        <v>0.35195530726257002</v>
      </c>
      <c r="AB11" s="2">
        <v>0.39664804469273701</v>
      </c>
      <c r="AC11" s="2">
        <v>1.67597765363128E-2</v>
      </c>
      <c r="AD11" s="2">
        <f t="shared" ref="AD11:AI11" si="75">$F11*X11</f>
        <v>4</v>
      </c>
      <c r="AE11" s="2">
        <f t="shared" si="75"/>
        <v>8</v>
      </c>
      <c r="AF11" s="2">
        <f t="shared" si="75"/>
        <v>20</v>
      </c>
      <c r="AG11" s="2">
        <f t="shared" si="75"/>
        <v>63.000000000000036</v>
      </c>
      <c r="AH11" s="2">
        <f t="shared" si="75"/>
        <v>70.999999999999929</v>
      </c>
      <c r="AI11" s="2">
        <f t="shared" si="75"/>
        <v>2.9999999999999911</v>
      </c>
      <c r="AJ11" s="1">
        <f t="shared" ref="AJ11:AO11" si="76">AD11*AJ$3</f>
        <v>1093.8</v>
      </c>
      <c r="AK11" s="1">
        <f t="shared" si="76"/>
        <v>2663.2</v>
      </c>
      <c r="AL11" s="1">
        <f t="shared" si="76"/>
        <v>10462.4</v>
      </c>
      <c r="AM11" s="1">
        <f t="shared" si="76"/>
        <v>35952.840000000018</v>
      </c>
      <c r="AN11" s="1">
        <f t="shared" si="76"/>
        <v>43050.849999999962</v>
      </c>
      <c r="AO11" s="1">
        <f t="shared" si="76"/>
        <v>2389.739999999993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f t="shared" ref="AV11:BA11" si="77">$I11*AP11</f>
        <v>0</v>
      </c>
      <c r="AW11" s="2">
        <f t="shared" si="77"/>
        <v>0</v>
      </c>
      <c r="AX11" s="2">
        <f t="shared" si="77"/>
        <v>0</v>
      </c>
      <c r="AY11" s="2">
        <f t="shared" si="77"/>
        <v>0</v>
      </c>
      <c r="AZ11" s="2">
        <f t="shared" si="77"/>
        <v>0</v>
      </c>
      <c r="BA11" s="2">
        <f t="shared" si="77"/>
        <v>0</v>
      </c>
      <c r="BB11" s="1">
        <f t="shared" ref="BB11:BG11" si="78">AV11*BB$4</f>
        <v>0</v>
      </c>
      <c r="BC11" s="1">
        <f t="shared" si="78"/>
        <v>0</v>
      </c>
      <c r="BD11" s="1">
        <f t="shared" si="78"/>
        <v>0</v>
      </c>
      <c r="BE11" s="1">
        <f t="shared" si="78"/>
        <v>0</v>
      </c>
      <c r="BF11" s="1">
        <f t="shared" si="78"/>
        <v>0</v>
      </c>
      <c r="BG11" s="1">
        <f t="shared" si="78"/>
        <v>0</v>
      </c>
      <c r="BH11" s="1">
        <f t="shared" si="16"/>
        <v>95612.829999999973</v>
      </c>
      <c r="BI11" s="2">
        <v>0.16447368421052599</v>
      </c>
      <c r="BJ11" s="2">
        <v>0</v>
      </c>
      <c r="BK11" s="2">
        <f t="shared" si="17"/>
        <v>29.440789473684152</v>
      </c>
      <c r="BL11" s="2">
        <f t="shared" si="18"/>
        <v>0</v>
      </c>
      <c r="BM11" s="1">
        <f t="shared" si="19"/>
        <v>20301.485197368384</v>
      </c>
      <c r="BN11" s="2">
        <v>0.30798319327731111</v>
      </c>
      <c r="BO11" s="2">
        <f t="shared" si="20"/>
        <v>55.128991596638691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f t="shared" si="21"/>
        <v>0</v>
      </c>
      <c r="CA11" s="2">
        <f t="shared" si="22"/>
        <v>0</v>
      </c>
      <c r="CB11" s="1">
        <f t="shared" si="23"/>
        <v>75703.131260504248</v>
      </c>
      <c r="CC11" s="2">
        <v>0.13407821229050301</v>
      </c>
      <c r="CD11" s="2">
        <v>0</v>
      </c>
      <c r="CE11" s="2">
        <f t="shared" si="24"/>
        <v>13.260000000000039</v>
      </c>
      <c r="CF11" s="2">
        <f t="shared" si="25"/>
        <v>0</v>
      </c>
      <c r="CG11" s="1">
        <f t="shared" si="26"/>
        <v>14898.007800000043</v>
      </c>
      <c r="CH11" s="2">
        <v>152181.76000000001</v>
      </c>
      <c r="CI11" s="2">
        <v>50737</v>
      </c>
      <c r="CJ11" s="1">
        <f t="shared" si="27"/>
        <v>788495</v>
      </c>
      <c r="CK11" s="2">
        <f t="shared" si="28"/>
        <v>0</v>
      </c>
      <c r="CL11" s="2">
        <v>1450499.4852</v>
      </c>
      <c r="CM11" s="22">
        <v>37692.458200000001</v>
      </c>
      <c r="CN11" s="22">
        <v>50737</v>
      </c>
      <c r="CO11" s="2">
        <f t="shared" si="29"/>
        <v>152181.76000000001</v>
      </c>
      <c r="CP11" s="2">
        <f t="shared" si="30"/>
        <v>1285273.1834</v>
      </c>
      <c r="CQ11" s="2">
        <v>195</v>
      </c>
      <c r="CR11" s="2">
        <f t="shared" si="31"/>
        <v>6591.1445302564098</v>
      </c>
      <c r="CS11" s="2">
        <f t="shared" si="32"/>
        <v>6602.3494759578462</v>
      </c>
      <c r="CT11" s="2">
        <f t="shared" si="33"/>
        <v>1181820.5561964544</v>
      </c>
      <c r="CU11" s="2">
        <f t="shared" si="34"/>
        <v>50737</v>
      </c>
      <c r="CV11" s="2">
        <f t="shared" si="35"/>
        <v>152181.76000000001</v>
      </c>
      <c r="CW11" s="2">
        <f t="shared" si="36"/>
        <v>1384739.3161964545</v>
      </c>
      <c r="CX11" s="1">
        <f t="shared" si="37"/>
        <v>12201.711938581866</v>
      </c>
      <c r="CY11" s="1">
        <f t="shared" si="38"/>
        <v>1384739.3161964545</v>
      </c>
      <c r="CZ11" s="2">
        <v>1</v>
      </c>
      <c r="DA11" s="2">
        <f t="shared" si="39"/>
        <v>2151.58</v>
      </c>
      <c r="DB11" s="2">
        <f t="shared" si="40"/>
        <v>2531.9078947368371</v>
      </c>
      <c r="DC11" s="2">
        <f t="shared" si="41"/>
        <v>605.02</v>
      </c>
      <c r="DD11" s="2">
        <f t="shared" si="42"/>
        <v>540.58000000000004</v>
      </c>
      <c r="DE11" s="2">
        <f t="shared" si="43"/>
        <v>1575.2</v>
      </c>
      <c r="DF11" s="2">
        <f t="shared" si="44"/>
        <v>4671.9000000000005</v>
      </c>
      <c r="DG11" s="1">
        <f t="shared" si="45"/>
        <v>12076.187894736837</v>
      </c>
      <c r="DH11" s="1">
        <f t="shared" si="46"/>
        <v>428315.19425787259</v>
      </c>
      <c r="DI11" s="9">
        <v>1</v>
      </c>
      <c r="DJ11" s="23">
        <v>5.36</v>
      </c>
      <c r="DK11" s="24">
        <v>0.33</v>
      </c>
      <c r="DL11" s="24">
        <v>0.17</v>
      </c>
      <c r="DM11" s="24">
        <v>0.45</v>
      </c>
      <c r="DN11" s="24">
        <v>0</v>
      </c>
      <c r="DO11" s="25">
        <v>6.31</v>
      </c>
      <c r="DP11" s="9">
        <v>7362</v>
      </c>
      <c r="DQ11" s="9">
        <v>17757</v>
      </c>
      <c r="DR11" s="9">
        <v>10</v>
      </c>
      <c r="DS11" s="9" t="str">
        <f t="shared" si="47"/>
        <v>6469459</v>
      </c>
      <c r="DT11" s="9">
        <f t="shared" si="48"/>
        <v>42681.039080000002</v>
      </c>
      <c r="DU11" s="26"/>
      <c r="DV11" s="9"/>
      <c r="DW11" s="9"/>
      <c r="DX11" s="9">
        <v>1372537.6042578723</v>
      </c>
      <c r="DY11" s="9">
        <v>428315.19425787259</v>
      </c>
      <c r="DZ11" s="9">
        <v>1384739.3161964545</v>
      </c>
      <c r="EA11" s="9">
        <v>1384739.3161964545</v>
      </c>
      <c r="EB11" s="9">
        <v>12076.187894736837</v>
      </c>
      <c r="EC11" s="9">
        <v>1372663.1283017176</v>
      </c>
      <c r="ED11" s="9">
        <v>5.36</v>
      </c>
      <c r="EE11" s="9">
        <v>0.33</v>
      </c>
      <c r="EF11" s="9">
        <v>0.17</v>
      </c>
      <c r="EG11" s="9">
        <v>0.45</v>
      </c>
      <c r="EH11" s="9">
        <v>0</v>
      </c>
      <c r="EI11" s="9">
        <v>6.31</v>
      </c>
      <c r="EJ11" s="9">
        <v>10</v>
      </c>
      <c r="EK11" s="9">
        <v>42681.039080000002</v>
      </c>
      <c r="EL11" s="9">
        <v>17757</v>
      </c>
      <c r="EM11" s="9">
        <v>7362</v>
      </c>
      <c r="EN11" s="9">
        <v>1429494.2467186647</v>
      </c>
      <c r="EO11" s="9">
        <v>1431563.6696684735</v>
      </c>
      <c r="EP11" s="9">
        <f t="shared" si="63"/>
        <v>0</v>
      </c>
      <c r="EQ11" s="9">
        <f t="shared" si="49"/>
        <v>0</v>
      </c>
      <c r="ER11" s="9">
        <f t="shared" si="50"/>
        <v>0</v>
      </c>
      <c r="ES11" s="9">
        <f t="shared" si="51"/>
        <v>0</v>
      </c>
      <c r="ET11" s="9">
        <f t="shared" si="52"/>
        <v>0</v>
      </c>
      <c r="EU11" s="9">
        <f t="shared" si="53"/>
        <v>0</v>
      </c>
      <c r="EV11" s="9">
        <f t="shared" ref="EV11:FA11" si="79">ROUND(ED11-DJ11,0)</f>
        <v>0</v>
      </c>
      <c r="EW11" s="9">
        <f t="shared" si="79"/>
        <v>0</v>
      </c>
      <c r="EX11" s="9">
        <f t="shared" si="79"/>
        <v>0</v>
      </c>
      <c r="EY11" s="9">
        <f t="shared" si="79"/>
        <v>0</v>
      </c>
      <c r="EZ11" s="9">
        <f t="shared" si="79"/>
        <v>0</v>
      </c>
      <c r="FA11" s="9">
        <f t="shared" si="79"/>
        <v>0</v>
      </c>
      <c r="FB11" s="9">
        <f t="shared" si="55"/>
        <v>0</v>
      </c>
      <c r="FC11" s="9">
        <f t="shared" si="56"/>
        <v>0</v>
      </c>
      <c r="FD11" s="9">
        <f t="shared" si="57"/>
        <v>0</v>
      </c>
      <c r="FE11" s="9">
        <f t="shared" si="58"/>
        <v>0</v>
      </c>
      <c r="FF11" s="9"/>
      <c r="FG11" s="9"/>
      <c r="FH11" s="9"/>
      <c r="FI11" s="27"/>
      <c r="FJ11" s="21">
        <v>17160</v>
      </c>
      <c r="FK11" s="28">
        <v>11115</v>
      </c>
      <c r="FL11" s="28">
        <v>13680</v>
      </c>
      <c r="FM11" s="29">
        <v>7410</v>
      </c>
      <c r="FN11" s="28">
        <v>0</v>
      </c>
      <c r="FO11" s="9"/>
    </row>
    <row r="12" spans="1:171">
      <c r="A12" s="2" t="s">
        <v>188</v>
      </c>
      <c r="B12" s="2">
        <v>100229</v>
      </c>
      <c r="C12" s="2">
        <v>2042376</v>
      </c>
      <c r="D12" s="2" t="s">
        <v>189</v>
      </c>
      <c r="E12" s="2">
        <v>373</v>
      </c>
      <c r="F12" s="2">
        <v>373</v>
      </c>
      <c r="G12" s="2">
        <v>46</v>
      </c>
      <c r="H12" s="2">
        <v>327</v>
      </c>
      <c r="I12" s="2">
        <v>0</v>
      </c>
      <c r="J12" s="2">
        <v>0</v>
      </c>
      <c r="K12" s="2">
        <v>0</v>
      </c>
      <c r="L12" s="2">
        <v>0</v>
      </c>
      <c r="M12" s="1">
        <f t="shared" si="5"/>
        <v>1722141</v>
      </c>
      <c r="N12" s="2">
        <v>0.30563002680965101</v>
      </c>
      <c r="O12" s="2">
        <v>0</v>
      </c>
      <c r="P12" s="2">
        <f t="shared" si="6"/>
        <v>113.99999999999983</v>
      </c>
      <c r="Q12" s="2">
        <f t="shared" si="7"/>
        <v>0</v>
      </c>
      <c r="R12" s="1">
        <f t="shared" si="8"/>
        <v>65057.519999999895</v>
      </c>
      <c r="S12" s="2">
        <v>0.31367292225201099</v>
      </c>
      <c r="T12" s="2">
        <v>0</v>
      </c>
      <c r="U12" s="2">
        <f t="shared" si="9"/>
        <v>117.0000000000001</v>
      </c>
      <c r="V12" s="2">
        <f t="shared" si="10"/>
        <v>0</v>
      </c>
      <c r="W12" s="1">
        <f t="shared" si="11"/>
        <v>98068.230000000083</v>
      </c>
      <c r="X12" s="2">
        <v>0.52815013404825695</v>
      </c>
      <c r="Y12" s="2">
        <v>0.10455764075067001</v>
      </c>
      <c r="Z12" s="2">
        <v>4.0214477211796197E-2</v>
      </c>
      <c r="AA12" s="2">
        <v>0.12600536193029499</v>
      </c>
      <c r="AB12" s="2">
        <v>0.112600536193029</v>
      </c>
      <c r="AC12" s="2">
        <v>0</v>
      </c>
      <c r="AD12" s="2">
        <f t="shared" ref="AD12:AI12" si="80">$F12*X12</f>
        <v>196.99999999999983</v>
      </c>
      <c r="AE12" s="2">
        <f t="shared" si="80"/>
        <v>38.999999999999915</v>
      </c>
      <c r="AF12" s="2">
        <f t="shared" si="80"/>
        <v>14.999999999999982</v>
      </c>
      <c r="AG12" s="2">
        <f t="shared" si="80"/>
        <v>47.000000000000028</v>
      </c>
      <c r="AH12" s="2">
        <f t="shared" si="80"/>
        <v>41.999999999999815</v>
      </c>
      <c r="AI12" s="2">
        <f t="shared" si="80"/>
        <v>0</v>
      </c>
      <c r="AJ12" s="1">
        <f t="shared" ref="AJ12:AO12" si="81">AD12*AJ$3</f>
        <v>53869.649999999951</v>
      </c>
      <c r="AK12" s="1">
        <f t="shared" si="81"/>
        <v>12983.099999999971</v>
      </c>
      <c r="AL12" s="1">
        <f t="shared" si="81"/>
        <v>7846.7999999999911</v>
      </c>
      <c r="AM12" s="1">
        <f t="shared" si="81"/>
        <v>26821.960000000014</v>
      </c>
      <c r="AN12" s="1">
        <f t="shared" si="81"/>
        <v>25466.699999999888</v>
      </c>
      <c r="AO12" s="1">
        <f t="shared" si="81"/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f t="shared" ref="AV12:BA12" si="82">$I12*AP12</f>
        <v>0</v>
      </c>
      <c r="AW12" s="2">
        <f t="shared" si="82"/>
        <v>0</v>
      </c>
      <c r="AX12" s="2">
        <f t="shared" si="82"/>
        <v>0</v>
      </c>
      <c r="AY12" s="2">
        <f t="shared" si="82"/>
        <v>0</v>
      </c>
      <c r="AZ12" s="2">
        <f t="shared" si="82"/>
        <v>0</v>
      </c>
      <c r="BA12" s="2">
        <f t="shared" si="82"/>
        <v>0</v>
      </c>
      <c r="BB12" s="1">
        <f t="shared" ref="BB12:BG12" si="83">AV12*BB$4</f>
        <v>0</v>
      </c>
      <c r="BC12" s="1">
        <f t="shared" si="83"/>
        <v>0</v>
      </c>
      <c r="BD12" s="1">
        <f t="shared" si="83"/>
        <v>0</v>
      </c>
      <c r="BE12" s="1">
        <f t="shared" si="83"/>
        <v>0</v>
      </c>
      <c r="BF12" s="1">
        <f t="shared" si="83"/>
        <v>0</v>
      </c>
      <c r="BG12" s="1">
        <f t="shared" si="83"/>
        <v>0</v>
      </c>
      <c r="BH12" s="1">
        <f t="shared" si="16"/>
        <v>126988.20999999982</v>
      </c>
      <c r="BI12" s="2">
        <v>8.8685015290519906E-2</v>
      </c>
      <c r="BJ12" s="2">
        <v>0</v>
      </c>
      <c r="BK12" s="2">
        <f t="shared" si="17"/>
        <v>33.079510703363923</v>
      </c>
      <c r="BL12" s="2">
        <f t="shared" si="18"/>
        <v>0</v>
      </c>
      <c r="BM12" s="1">
        <f t="shared" si="19"/>
        <v>22810.63819571866</v>
      </c>
      <c r="BN12" s="2">
        <v>0.20342752485609608</v>
      </c>
      <c r="BO12" s="2">
        <f t="shared" si="20"/>
        <v>75.878466771323843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f t="shared" si="21"/>
        <v>0</v>
      </c>
      <c r="CA12" s="2">
        <f t="shared" si="22"/>
        <v>0</v>
      </c>
      <c r="CB12" s="1">
        <f t="shared" si="23"/>
        <v>104196.3105703819</v>
      </c>
      <c r="CC12" s="2">
        <v>6.9705093833780193E-2</v>
      </c>
      <c r="CD12" s="2">
        <v>0</v>
      </c>
      <c r="CE12" s="2">
        <f t="shared" si="24"/>
        <v>3.620000000000013</v>
      </c>
      <c r="CF12" s="2">
        <f t="shared" si="25"/>
        <v>0</v>
      </c>
      <c r="CG12" s="1">
        <f t="shared" si="26"/>
        <v>4067.1786000000143</v>
      </c>
      <c r="CH12" s="2">
        <v>152181.76000000001</v>
      </c>
      <c r="CI12" s="2">
        <v>23413</v>
      </c>
      <c r="CJ12" s="1">
        <f t="shared" si="27"/>
        <v>1643065</v>
      </c>
      <c r="CK12" s="2">
        <f t="shared" si="28"/>
        <v>0</v>
      </c>
      <c r="CL12" s="2">
        <v>2202034.9698000001</v>
      </c>
      <c r="CM12" s="22">
        <v>56246.2817</v>
      </c>
      <c r="CN12" s="22">
        <v>23413</v>
      </c>
      <c r="CO12" s="2">
        <f t="shared" si="29"/>
        <v>152181.76000000001</v>
      </c>
      <c r="CP12" s="2">
        <f t="shared" si="30"/>
        <v>2082686.4915000002</v>
      </c>
      <c r="CQ12" s="2">
        <v>358</v>
      </c>
      <c r="CR12" s="2">
        <f t="shared" si="31"/>
        <v>5817.5600321229058</v>
      </c>
      <c r="CS12" s="2">
        <f t="shared" si="32"/>
        <v>5827.4498841775148</v>
      </c>
      <c r="CT12" s="2">
        <f t="shared" si="33"/>
        <v>2173638.8067982132</v>
      </c>
      <c r="CU12" s="2">
        <f t="shared" si="34"/>
        <v>23413</v>
      </c>
      <c r="CV12" s="2">
        <f t="shared" si="35"/>
        <v>152181.76000000001</v>
      </c>
      <c r="CW12" s="2">
        <f t="shared" si="36"/>
        <v>2349233.5667982129</v>
      </c>
      <c r="CX12" s="1">
        <f t="shared" si="37"/>
        <v>30309.719432112528</v>
      </c>
      <c r="CY12" s="1">
        <f t="shared" si="38"/>
        <v>2349233.5667982129</v>
      </c>
      <c r="CZ12" s="2">
        <v>1</v>
      </c>
      <c r="DA12" s="2">
        <f t="shared" si="39"/>
        <v>4483.46</v>
      </c>
      <c r="DB12" s="2">
        <f t="shared" si="40"/>
        <v>2844.8379204892972</v>
      </c>
      <c r="DC12" s="2">
        <f t="shared" si="41"/>
        <v>1260.74</v>
      </c>
      <c r="DD12" s="2">
        <f t="shared" si="42"/>
        <v>1126.46</v>
      </c>
      <c r="DE12" s="2">
        <f t="shared" si="43"/>
        <v>3282.4</v>
      </c>
      <c r="DF12" s="2">
        <f t="shared" si="44"/>
        <v>9735.3000000000011</v>
      </c>
      <c r="DG12" s="1">
        <f t="shared" si="45"/>
        <v>22733.1979204893</v>
      </c>
      <c r="DH12" s="1">
        <f t="shared" si="46"/>
        <v>648894.53736610047</v>
      </c>
      <c r="DI12" s="9">
        <v>1</v>
      </c>
      <c r="DJ12" s="23">
        <v>5.36</v>
      </c>
      <c r="DK12" s="24">
        <v>0.14000000000000001</v>
      </c>
      <c r="DL12" s="24">
        <v>0.13</v>
      </c>
      <c r="DM12" s="24">
        <v>0.45</v>
      </c>
      <c r="DN12" s="24">
        <v>0</v>
      </c>
      <c r="DO12" s="25">
        <v>6.09</v>
      </c>
      <c r="DP12" s="9">
        <v>7983</v>
      </c>
      <c r="DQ12" s="9">
        <v>16385</v>
      </c>
      <c r="DR12" s="9">
        <v>0</v>
      </c>
      <c r="DS12" s="9" t="str">
        <f t="shared" si="47"/>
        <v>6569149</v>
      </c>
      <c r="DT12" s="9">
        <f t="shared" si="48"/>
        <v>72601.399800000014</v>
      </c>
      <c r="DU12" s="26"/>
      <c r="DV12" s="9"/>
      <c r="DW12" s="9"/>
      <c r="DX12" s="9">
        <v>2318923.8473661002</v>
      </c>
      <c r="DY12" s="9">
        <v>648894.53736610059</v>
      </c>
      <c r="DZ12" s="30">
        <v>2349233.5667982129</v>
      </c>
      <c r="EA12" s="21">
        <v>2349233.5667982129</v>
      </c>
      <c r="EB12" s="9">
        <v>22733.1979204893</v>
      </c>
      <c r="EC12" s="9">
        <v>2326500.3688777238</v>
      </c>
      <c r="ED12" s="9">
        <v>5.36</v>
      </c>
      <c r="EE12" s="9">
        <v>0.14000000000000001</v>
      </c>
      <c r="EF12" s="9">
        <v>0.13</v>
      </c>
      <c r="EG12" s="9">
        <v>0.45</v>
      </c>
      <c r="EH12" s="9">
        <v>0</v>
      </c>
      <c r="EI12" s="9">
        <v>6.09</v>
      </c>
      <c r="EJ12" s="9">
        <v>0</v>
      </c>
      <c r="EK12" s="9">
        <v>72601.399800000014</v>
      </c>
      <c r="EL12" s="9">
        <v>16385</v>
      </c>
      <c r="EM12" s="9">
        <v>7983</v>
      </c>
      <c r="EN12" s="9">
        <v>2425645.8136796695</v>
      </c>
      <c r="EO12" s="9">
        <v>2429455.1450933125</v>
      </c>
      <c r="EP12" s="9">
        <f t="shared" si="63"/>
        <v>0</v>
      </c>
      <c r="EQ12" s="9">
        <f t="shared" si="49"/>
        <v>0</v>
      </c>
      <c r="ER12" s="9">
        <f t="shared" si="50"/>
        <v>0</v>
      </c>
      <c r="ES12" s="9">
        <f t="shared" si="51"/>
        <v>0</v>
      </c>
      <c r="ET12" s="9">
        <f t="shared" si="52"/>
        <v>0</v>
      </c>
      <c r="EU12" s="9">
        <f t="shared" si="53"/>
        <v>0</v>
      </c>
      <c r="EV12" s="9">
        <f t="shared" ref="EV12:FA12" si="84">ROUND(ED12-DJ12,0)</f>
        <v>0</v>
      </c>
      <c r="EW12" s="9">
        <f t="shared" si="84"/>
        <v>0</v>
      </c>
      <c r="EX12" s="9">
        <f t="shared" si="84"/>
        <v>0</v>
      </c>
      <c r="EY12" s="9">
        <f t="shared" si="84"/>
        <v>0</v>
      </c>
      <c r="EZ12" s="9">
        <f t="shared" si="84"/>
        <v>0</v>
      </c>
      <c r="FA12" s="9">
        <f t="shared" si="84"/>
        <v>0</v>
      </c>
      <c r="FB12" s="9">
        <f t="shared" si="55"/>
        <v>0</v>
      </c>
      <c r="FC12" s="9">
        <f t="shared" si="56"/>
        <v>0</v>
      </c>
      <c r="FD12" s="9">
        <f t="shared" si="57"/>
        <v>0</v>
      </c>
      <c r="FE12" s="9">
        <f t="shared" si="58"/>
        <v>0</v>
      </c>
      <c r="FF12" s="9"/>
      <c r="FG12" s="9"/>
      <c r="FH12" s="9"/>
      <c r="FI12" s="27"/>
      <c r="FJ12" s="21">
        <v>11115</v>
      </c>
      <c r="FK12" s="28">
        <v>4875</v>
      </c>
      <c r="FL12" s="28">
        <v>7200</v>
      </c>
      <c r="FM12" s="29">
        <v>1710</v>
      </c>
      <c r="FN12" s="28">
        <v>0</v>
      </c>
      <c r="FO12" s="9"/>
    </row>
    <row r="13" spans="1:171">
      <c r="A13" s="2" t="s">
        <v>190</v>
      </c>
      <c r="B13" s="2">
        <v>100230</v>
      </c>
      <c r="C13" s="2">
        <v>2042388</v>
      </c>
      <c r="D13" s="2" t="s">
        <v>191</v>
      </c>
      <c r="E13" s="2">
        <v>400</v>
      </c>
      <c r="F13" s="2">
        <v>400</v>
      </c>
      <c r="G13" s="2">
        <v>58</v>
      </c>
      <c r="H13" s="2">
        <v>342</v>
      </c>
      <c r="I13" s="2">
        <v>0</v>
      </c>
      <c r="J13" s="2">
        <v>0</v>
      </c>
      <c r="K13" s="2">
        <v>0</v>
      </c>
      <c r="L13" s="2">
        <v>0</v>
      </c>
      <c r="M13" s="1">
        <f t="shared" si="5"/>
        <v>1846800</v>
      </c>
      <c r="N13" s="2">
        <v>0.29249999999999998</v>
      </c>
      <c r="O13" s="2">
        <v>0</v>
      </c>
      <c r="P13" s="2">
        <f t="shared" si="6"/>
        <v>117</v>
      </c>
      <c r="Q13" s="2">
        <f t="shared" si="7"/>
        <v>0</v>
      </c>
      <c r="R13" s="1">
        <f t="shared" si="8"/>
        <v>66769.56</v>
      </c>
      <c r="S13" s="2">
        <v>0.29249999999999998</v>
      </c>
      <c r="T13" s="2">
        <v>0</v>
      </c>
      <c r="U13" s="2">
        <f t="shared" si="9"/>
        <v>117</v>
      </c>
      <c r="V13" s="2">
        <f t="shared" si="10"/>
        <v>0</v>
      </c>
      <c r="W13" s="1">
        <f t="shared" si="11"/>
        <v>98068.23000000001</v>
      </c>
      <c r="X13" s="2">
        <v>0.14749999999999999</v>
      </c>
      <c r="Y13" s="2">
        <v>0.255</v>
      </c>
      <c r="Z13" s="2">
        <v>0.20749999999999999</v>
      </c>
      <c r="AA13" s="2">
        <v>6.5000000000000002E-2</v>
      </c>
      <c r="AB13" s="2">
        <v>0.22</v>
      </c>
      <c r="AC13" s="2">
        <v>2.5000000000000001E-3</v>
      </c>
      <c r="AD13" s="2">
        <f t="shared" ref="AD13:AI13" si="85">$F13*X13</f>
        <v>59</v>
      </c>
      <c r="AE13" s="2">
        <f t="shared" si="85"/>
        <v>102</v>
      </c>
      <c r="AF13" s="2">
        <f t="shared" si="85"/>
        <v>83</v>
      </c>
      <c r="AG13" s="2">
        <f t="shared" si="85"/>
        <v>26</v>
      </c>
      <c r="AH13" s="2">
        <f t="shared" si="85"/>
        <v>88</v>
      </c>
      <c r="AI13" s="2">
        <f t="shared" si="85"/>
        <v>1</v>
      </c>
      <c r="AJ13" s="1">
        <f t="shared" ref="AJ13:AO13" si="86">AD13*AJ$3</f>
        <v>16133.55</v>
      </c>
      <c r="AK13" s="1">
        <f t="shared" si="86"/>
        <v>33955.799999999996</v>
      </c>
      <c r="AL13" s="1">
        <f t="shared" si="86"/>
        <v>43418.96</v>
      </c>
      <c r="AM13" s="1">
        <f t="shared" si="86"/>
        <v>14837.679999999998</v>
      </c>
      <c r="AN13" s="1">
        <f t="shared" si="86"/>
        <v>53358.8</v>
      </c>
      <c r="AO13" s="1">
        <f t="shared" si="86"/>
        <v>796.58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f t="shared" ref="AV13:BA13" si="87">$I13*AP13</f>
        <v>0</v>
      </c>
      <c r="AW13" s="2">
        <f t="shared" si="87"/>
        <v>0</v>
      </c>
      <c r="AX13" s="2">
        <f t="shared" si="87"/>
        <v>0</v>
      </c>
      <c r="AY13" s="2">
        <f t="shared" si="87"/>
        <v>0</v>
      </c>
      <c r="AZ13" s="2">
        <f t="shared" si="87"/>
        <v>0</v>
      </c>
      <c r="BA13" s="2">
        <f t="shared" si="87"/>
        <v>0</v>
      </c>
      <c r="BB13" s="1">
        <f t="shared" ref="BB13:BG13" si="88">AV13*BB$4</f>
        <v>0</v>
      </c>
      <c r="BC13" s="1">
        <f t="shared" si="88"/>
        <v>0</v>
      </c>
      <c r="BD13" s="1">
        <f t="shared" si="88"/>
        <v>0</v>
      </c>
      <c r="BE13" s="1">
        <f t="shared" si="88"/>
        <v>0</v>
      </c>
      <c r="BF13" s="1">
        <f t="shared" si="88"/>
        <v>0</v>
      </c>
      <c r="BG13" s="1">
        <f t="shared" si="88"/>
        <v>0</v>
      </c>
      <c r="BH13" s="1">
        <f t="shared" si="16"/>
        <v>162501.36999999997</v>
      </c>
      <c r="BI13" s="2">
        <v>0.28070175438596501</v>
      </c>
      <c r="BJ13" s="2">
        <v>0</v>
      </c>
      <c r="BK13" s="2">
        <f t="shared" si="17"/>
        <v>112.280701754386</v>
      </c>
      <c r="BL13" s="2">
        <f t="shared" si="18"/>
        <v>0</v>
      </c>
      <c r="BM13" s="1">
        <f t="shared" si="19"/>
        <v>77425.403508771968</v>
      </c>
      <c r="BN13" s="2">
        <v>0.24698795180722882</v>
      </c>
      <c r="BO13" s="2">
        <f t="shared" si="20"/>
        <v>98.79518072289153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f t="shared" si="21"/>
        <v>0</v>
      </c>
      <c r="CA13" s="2">
        <f t="shared" si="22"/>
        <v>0</v>
      </c>
      <c r="CB13" s="1">
        <f t="shared" si="23"/>
        <v>135665.54216867464</v>
      </c>
      <c r="CC13" s="2">
        <v>6.25E-2</v>
      </c>
      <c r="CD13" s="2">
        <v>0</v>
      </c>
      <c r="CE13" s="2">
        <f t="shared" si="24"/>
        <v>1.0000000000000009</v>
      </c>
      <c r="CF13" s="2">
        <f t="shared" si="25"/>
        <v>0</v>
      </c>
      <c r="CG13" s="1">
        <f t="shared" si="26"/>
        <v>1123.5300000000009</v>
      </c>
      <c r="CH13" s="2">
        <v>152181.76000000001</v>
      </c>
      <c r="CI13" s="2">
        <v>34468</v>
      </c>
      <c r="CJ13" s="1">
        <f t="shared" si="27"/>
        <v>1762000</v>
      </c>
      <c r="CK13" s="2">
        <f t="shared" si="28"/>
        <v>0</v>
      </c>
      <c r="CL13" s="2">
        <v>2573181.7294000001</v>
      </c>
      <c r="CM13" s="22">
        <v>63584.300499999998</v>
      </c>
      <c r="CN13" s="22">
        <v>34468</v>
      </c>
      <c r="CO13" s="2">
        <f t="shared" si="29"/>
        <v>152181.76000000001</v>
      </c>
      <c r="CP13" s="2">
        <f t="shared" si="30"/>
        <v>2450116.2698999997</v>
      </c>
      <c r="CQ13" s="2">
        <v>406</v>
      </c>
      <c r="CR13" s="2">
        <f t="shared" si="31"/>
        <v>6034.7691376847288</v>
      </c>
      <c r="CS13" s="2">
        <f t="shared" si="32"/>
        <v>6045.028245218793</v>
      </c>
      <c r="CT13" s="2">
        <f t="shared" si="33"/>
        <v>2418011.2980875173</v>
      </c>
      <c r="CU13" s="2">
        <f t="shared" si="34"/>
        <v>34468</v>
      </c>
      <c r="CV13" s="2">
        <f t="shared" si="35"/>
        <v>152181.76000000001</v>
      </c>
      <c r="CW13" s="2">
        <f t="shared" si="36"/>
        <v>2604661.0580875175</v>
      </c>
      <c r="CX13" s="1">
        <f t="shared" si="37"/>
        <v>29657.662410070858</v>
      </c>
      <c r="CY13" s="1">
        <f t="shared" si="38"/>
        <v>2604661.058087517</v>
      </c>
      <c r="CZ13" s="2">
        <v>1</v>
      </c>
      <c r="DA13" s="2">
        <f t="shared" si="39"/>
        <v>4808</v>
      </c>
      <c r="DB13" s="2">
        <f t="shared" si="40"/>
        <v>9656.1403508771964</v>
      </c>
      <c r="DC13" s="2">
        <f t="shared" si="41"/>
        <v>1352</v>
      </c>
      <c r="DD13" s="2">
        <f t="shared" si="42"/>
        <v>1208</v>
      </c>
      <c r="DE13" s="2">
        <f t="shared" si="43"/>
        <v>3520.0000000000005</v>
      </c>
      <c r="DF13" s="2">
        <f t="shared" si="44"/>
        <v>10440</v>
      </c>
      <c r="DG13" s="1">
        <f t="shared" si="45"/>
        <v>30984.140350877198</v>
      </c>
      <c r="DH13" s="1">
        <f t="shared" si="46"/>
        <v>788740.07567744667</v>
      </c>
      <c r="DI13" s="9">
        <v>1</v>
      </c>
      <c r="DJ13" s="23">
        <v>5.36</v>
      </c>
      <c r="DK13" s="24">
        <v>0.33</v>
      </c>
      <c r="DL13" s="24">
        <v>0.15</v>
      </c>
      <c r="DM13" s="24">
        <v>0.45</v>
      </c>
      <c r="DN13" s="24">
        <v>0</v>
      </c>
      <c r="DO13" s="25">
        <v>6.29</v>
      </c>
      <c r="DP13" s="9">
        <v>8112</v>
      </c>
      <c r="DQ13" s="9">
        <v>17690</v>
      </c>
      <c r="DR13" s="9">
        <v>0</v>
      </c>
      <c r="DS13" s="9" t="str">
        <f t="shared" si="47"/>
        <v>5620091</v>
      </c>
      <c r="DT13" s="9">
        <f t="shared" si="48"/>
        <v>76421.39976</v>
      </c>
      <c r="DU13" s="26"/>
      <c r="DV13" s="9"/>
      <c r="DW13" s="9"/>
      <c r="DX13" s="9">
        <v>2575003.3956774464</v>
      </c>
      <c r="DY13" s="9">
        <v>788740.07567744667</v>
      </c>
      <c r="DZ13" s="30">
        <v>2604661.0580875175</v>
      </c>
      <c r="EA13" s="21">
        <v>2604661.0580875175</v>
      </c>
      <c r="EB13" s="9">
        <v>30984.140350877198</v>
      </c>
      <c r="EC13" s="9">
        <v>2573676.9177366402</v>
      </c>
      <c r="ED13" s="9">
        <v>5.36</v>
      </c>
      <c r="EE13" s="9">
        <v>0.33</v>
      </c>
      <c r="EF13" s="9">
        <v>0.15</v>
      </c>
      <c r="EG13" s="9">
        <v>0.45</v>
      </c>
      <c r="EH13" s="9">
        <v>0</v>
      </c>
      <c r="EI13" s="9">
        <v>6.29</v>
      </c>
      <c r="EJ13" s="9">
        <v>0</v>
      </c>
      <c r="EK13" s="9">
        <v>76421.39976</v>
      </c>
      <c r="EL13" s="9">
        <v>17690</v>
      </c>
      <c r="EM13" s="9">
        <v>8112</v>
      </c>
      <c r="EN13" s="9">
        <v>2685315.2321640984</v>
      </c>
      <c r="EO13" s="9">
        <v>2689547.2080891645</v>
      </c>
      <c r="EP13" s="9">
        <f t="shared" si="63"/>
        <v>0</v>
      </c>
      <c r="EQ13" s="9">
        <f t="shared" si="49"/>
        <v>0</v>
      </c>
      <c r="ER13" s="9">
        <f t="shared" si="50"/>
        <v>0</v>
      </c>
      <c r="ES13" s="9">
        <f t="shared" si="51"/>
        <v>0</v>
      </c>
      <c r="ET13" s="9">
        <f t="shared" si="52"/>
        <v>0</v>
      </c>
      <c r="EU13" s="9">
        <f t="shared" si="53"/>
        <v>0</v>
      </c>
      <c r="EV13" s="9">
        <f t="shared" ref="EV13:FA13" si="89">ROUND(ED13-DJ13,0)</f>
        <v>0</v>
      </c>
      <c r="EW13" s="9">
        <f t="shared" si="89"/>
        <v>0</v>
      </c>
      <c r="EX13" s="9">
        <f t="shared" si="89"/>
        <v>0</v>
      </c>
      <c r="EY13" s="9">
        <f t="shared" si="89"/>
        <v>0</v>
      </c>
      <c r="EZ13" s="9">
        <f t="shared" si="89"/>
        <v>0</v>
      </c>
      <c r="FA13" s="9">
        <f t="shared" si="89"/>
        <v>0</v>
      </c>
      <c r="FB13" s="9">
        <f t="shared" si="55"/>
        <v>0</v>
      </c>
      <c r="FC13" s="9">
        <f t="shared" si="56"/>
        <v>0</v>
      </c>
      <c r="FD13" s="9">
        <f t="shared" si="57"/>
        <v>0</v>
      </c>
      <c r="FE13" s="9">
        <f t="shared" si="58"/>
        <v>0</v>
      </c>
      <c r="FF13" s="9"/>
      <c r="FG13" s="9"/>
      <c r="FH13" s="9"/>
      <c r="FI13" s="27"/>
      <c r="FJ13" s="21">
        <v>8385</v>
      </c>
      <c r="FK13" s="28">
        <v>8385</v>
      </c>
      <c r="FL13" s="28">
        <v>7920</v>
      </c>
      <c r="FM13" s="29">
        <v>3990</v>
      </c>
      <c r="FN13" s="28">
        <v>0</v>
      </c>
      <c r="FO13" s="9"/>
    </row>
    <row r="14" spans="1:171">
      <c r="A14" s="2" t="s">
        <v>192</v>
      </c>
      <c r="B14" s="2">
        <v>100231</v>
      </c>
      <c r="C14" s="2">
        <v>2042421</v>
      </c>
      <c r="D14" s="2" t="s">
        <v>193</v>
      </c>
      <c r="E14" s="2">
        <v>610</v>
      </c>
      <c r="F14" s="2">
        <v>610</v>
      </c>
      <c r="G14" s="2">
        <v>90</v>
      </c>
      <c r="H14" s="2">
        <v>520</v>
      </c>
      <c r="I14" s="2">
        <v>0</v>
      </c>
      <c r="J14" s="2">
        <v>0</v>
      </c>
      <c r="K14" s="2">
        <v>0</v>
      </c>
      <c r="L14" s="2">
        <v>1</v>
      </c>
      <c r="M14" s="1">
        <f t="shared" si="5"/>
        <v>2816370</v>
      </c>
      <c r="N14" s="2">
        <v>0.22459016393442599</v>
      </c>
      <c r="O14" s="2">
        <v>0</v>
      </c>
      <c r="P14" s="2">
        <f t="shared" si="6"/>
        <v>136.99999999999986</v>
      </c>
      <c r="Q14" s="2">
        <f t="shared" si="7"/>
        <v>0</v>
      </c>
      <c r="R14" s="1">
        <f t="shared" si="8"/>
        <v>78183.159999999916</v>
      </c>
      <c r="S14" s="2">
        <v>0.227868852459016</v>
      </c>
      <c r="T14" s="2">
        <v>0</v>
      </c>
      <c r="U14" s="2">
        <f t="shared" si="9"/>
        <v>138.99999999999977</v>
      </c>
      <c r="V14" s="2">
        <f t="shared" si="10"/>
        <v>0</v>
      </c>
      <c r="W14" s="1">
        <f t="shared" si="11"/>
        <v>116508.40999999981</v>
      </c>
      <c r="X14" s="2">
        <v>0.12295081967213101</v>
      </c>
      <c r="Y14" s="2">
        <v>0.227868852459016</v>
      </c>
      <c r="Z14" s="2">
        <v>0.13278688524590199</v>
      </c>
      <c r="AA14" s="2">
        <v>0.159016393442623</v>
      </c>
      <c r="AB14" s="2">
        <v>3.7704918032786902E-2</v>
      </c>
      <c r="AC14" s="2">
        <v>9.8360655737704892E-3</v>
      </c>
      <c r="AD14" s="2">
        <f t="shared" ref="AD14:AI14" si="90">$F14*X14</f>
        <v>74.999999999999915</v>
      </c>
      <c r="AE14" s="2">
        <f t="shared" si="90"/>
        <v>138.99999999999977</v>
      </c>
      <c r="AF14" s="2">
        <f t="shared" si="90"/>
        <v>81.000000000000213</v>
      </c>
      <c r="AG14" s="2">
        <f t="shared" si="90"/>
        <v>97.000000000000028</v>
      </c>
      <c r="AH14" s="2">
        <f t="shared" si="90"/>
        <v>23.000000000000011</v>
      </c>
      <c r="AI14" s="2">
        <f t="shared" si="90"/>
        <v>5.9999999999999982</v>
      </c>
      <c r="AJ14" s="1">
        <f t="shared" ref="AJ14:AO14" si="91">AD14*AJ$3</f>
        <v>20508.749999999975</v>
      </c>
      <c r="AK14" s="1">
        <f t="shared" si="91"/>
        <v>46273.099999999919</v>
      </c>
      <c r="AL14" s="1">
        <f t="shared" si="91"/>
        <v>42372.72000000011</v>
      </c>
      <c r="AM14" s="1">
        <f t="shared" si="91"/>
        <v>55355.960000000014</v>
      </c>
      <c r="AN14" s="1">
        <f t="shared" si="91"/>
        <v>13946.050000000007</v>
      </c>
      <c r="AO14" s="1">
        <f t="shared" si="91"/>
        <v>4779.4799999999987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f t="shared" ref="AV14:BA14" si="92">$I14*AP14</f>
        <v>0</v>
      </c>
      <c r="AW14" s="2">
        <f t="shared" si="92"/>
        <v>0</v>
      </c>
      <c r="AX14" s="2">
        <f t="shared" si="92"/>
        <v>0</v>
      </c>
      <c r="AY14" s="2">
        <f t="shared" si="92"/>
        <v>0</v>
      </c>
      <c r="AZ14" s="2">
        <f t="shared" si="92"/>
        <v>0</v>
      </c>
      <c r="BA14" s="2">
        <f t="shared" si="92"/>
        <v>0</v>
      </c>
      <c r="BB14" s="1">
        <f t="shared" ref="BB14:BG14" si="93">AV14*BB$4</f>
        <v>0</v>
      </c>
      <c r="BC14" s="1">
        <f t="shared" si="93"/>
        <v>0</v>
      </c>
      <c r="BD14" s="1">
        <f t="shared" si="93"/>
        <v>0</v>
      </c>
      <c r="BE14" s="1">
        <f t="shared" si="93"/>
        <v>0</v>
      </c>
      <c r="BF14" s="1">
        <f t="shared" si="93"/>
        <v>0</v>
      </c>
      <c r="BG14" s="1">
        <f t="shared" si="93"/>
        <v>0</v>
      </c>
      <c r="BH14" s="1">
        <f t="shared" si="16"/>
        <v>183236.06000000006</v>
      </c>
      <c r="BI14" s="2">
        <v>8.4615384615384606E-2</v>
      </c>
      <c r="BJ14" s="2">
        <v>0</v>
      </c>
      <c r="BK14" s="2">
        <f t="shared" si="17"/>
        <v>51.615384615384613</v>
      </c>
      <c r="BL14" s="2">
        <f t="shared" si="18"/>
        <v>0</v>
      </c>
      <c r="BM14" s="1">
        <f t="shared" si="19"/>
        <v>35592.420769230768</v>
      </c>
      <c r="BN14" s="2">
        <v>0.22317505315379182</v>
      </c>
      <c r="BO14" s="2">
        <f t="shared" si="20"/>
        <v>136.136782423813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f t="shared" si="21"/>
        <v>0</v>
      </c>
      <c r="CA14" s="2">
        <f t="shared" si="22"/>
        <v>0</v>
      </c>
      <c r="CB14" s="1">
        <f t="shared" si="23"/>
        <v>186943.02962438003</v>
      </c>
      <c r="CC14" s="2">
        <v>5.0819672131147499E-2</v>
      </c>
      <c r="CD14" s="2">
        <v>0</v>
      </c>
      <c r="CE14" s="2">
        <f t="shared" si="24"/>
        <v>0</v>
      </c>
      <c r="CF14" s="2">
        <f t="shared" si="25"/>
        <v>0</v>
      </c>
      <c r="CG14" s="1">
        <f t="shared" si="26"/>
        <v>0</v>
      </c>
      <c r="CH14" s="2">
        <v>152181.76000000001</v>
      </c>
      <c r="CI14" s="2">
        <v>47481</v>
      </c>
      <c r="CJ14" s="1">
        <f t="shared" si="27"/>
        <v>2687050</v>
      </c>
      <c r="CK14" s="2">
        <f t="shared" si="28"/>
        <v>0</v>
      </c>
      <c r="CL14" s="2">
        <v>3698485.3979000002</v>
      </c>
      <c r="CM14" s="22">
        <v>88225.856199999995</v>
      </c>
      <c r="CN14" s="22">
        <v>47481</v>
      </c>
      <c r="CO14" s="2">
        <f t="shared" si="29"/>
        <v>152181.76000000001</v>
      </c>
      <c r="CP14" s="2">
        <f t="shared" si="30"/>
        <v>3587048.4940999998</v>
      </c>
      <c r="CQ14" s="2">
        <v>600</v>
      </c>
      <c r="CR14" s="2">
        <f t="shared" si="31"/>
        <v>5978.4141568333325</v>
      </c>
      <c r="CS14" s="2">
        <f t="shared" si="32"/>
        <v>5988.5774608999491</v>
      </c>
      <c r="CT14" s="2">
        <f t="shared" si="33"/>
        <v>3653032.2511489689</v>
      </c>
      <c r="CU14" s="2">
        <f t="shared" si="34"/>
        <v>47481</v>
      </c>
      <c r="CV14" s="2">
        <f t="shared" si="35"/>
        <v>152181.76000000001</v>
      </c>
      <c r="CW14" s="2">
        <f t="shared" si="36"/>
        <v>3852695.0111489687</v>
      </c>
      <c r="CX14" s="1">
        <f t="shared" si="37"/>
        <v>236199.17075535806</v>
      </c>
      <c r="CY14" s="1">
        <f t="shared" si="38"/>
        <v>3852695.0111489692</v>
      </c>
      <c r="CZ14" s="2">
        <v>1</v>
      </c>
      <c r="DA14" s="2">
        <f t="shared" si="39"/>
        <v>7332.2</v>
      </c>
      <c r="DB14" s="2">
        <f t="shared" si="40"/>
        <v>4438.9230769230771</v>
      </c>
      <c r="DC14" s="2">
        <f t="shared" si="41"/>
        <v>2061.7999999999997</v>
      </c>
      <c r="DD14" s="2">
        <f t="shared" si="42"/>
        <v>1842.2</v>
      </c>
      <c r="DE14" s="2">
        <f t="shared" si="43"/>
        <v>5368</v>
      </c>
      <c r="DF14" s="2">
        <f t="shared" si="44"/>
        <v>15921</v>
      </c>
      <c r="DG14" s="1">
        <f t="shared" si="45"/>
        <v>36964.123076923075</v>
      </c>
      <c r="DH14" s="1">
        <f t="shared" si="46"/>
        <v>1001062.8203936107</v>
      </c>
      <c r="DI14" s="9">
        <v>1</v>
      </c>
      <c r="DJ14" s="23">
        <v>5.36</v>
      </c>
      <c r="DK14" s="24">
        <v>0.11</v>
      </c>
      <c r="DL14" s="24">
        <v>0.12</v>
      </c>
      <c r="DM14" s="24">
        <v>0.45</v>
      </c>
      <c r="DN14" s="24">
        <v>0</v>
      </c>
      <c r="DO14" s="25">
        <v>6.04</v>
      </c>
      <c r="DP14" s="9">
        <v>8821</v>
      </c>
      <c r="DQ14" s="9">
        <v>24430</v>
      </c>
      <c r="DR14" s="9">
        <v>10</v>
      </c>
      <c r="DS14" s="9" t="str">
        <f t="shared" si="47"/>
        <v>8186454</v>
      </c>
      <c r="DT14" s="9">
        <f t="shared" si="48"/>
        <v>108852.75951999996</v>
      </c>
      <c r="DU14" s="26"/>
      <c r="DV14" s="9"/>
      <c r="DW14" s="9"/>
      <c r="DX14" s="9">
        <v>3616495.8403936112</v>
      </c>
      <c r="DY14" s="9">
        <v>1001062.8203936106</v>
      </c>
      <c r="DZ14" s="30">
        <v>3852695.0111489687</v>
      </c>
      <c r="EA14" s="21">
        <v>3852695.0111489687</v>
      </c>
      <c r="EB14" s="9">
        <v>36964.123076923075</v>
      </c>
      <c r="EC14" s="9">
        <v>3815730.8880720455</v>
      </c>
      <c r="ED14" s="9">
        <v>5.36</v>
      </c>
      <c r="EE14" s="9">
        <v>0.11</v>
      </c>
      <c r="EF14" s="9">
        <v>0.12</v>
      </c>
      <c r="EG14" s="9">
        <v>0.45</v>
      </c>
      <c r="EH14" s="9">
        <v>0</v>
      </c>
      <c r="EI14" s="9">
        <v>6.04</v>
      </c>
      <c r="EJ14" s="9">
        <v>10</v>
      </c>
      <c r="EK14" s="9">
        <v>108852.75951999996</v>
      </c>
      <c r="EL14" s="9">
        <v>24430</v>
      </c>
      <c r="EM14" s="9">
        <v>8821</v>
      </c>
      <c r="EN14" s="9">
        <v>3967935.2139173457</v>
      </c>
      <c r="EO14" s="9">
        <v>3974325.5217113923</v>
      </c>
      <c r="EP14" s="9">
        <f t="shared" si="63"/>
        <v>0</v>
      </c>
      <c r="EQ14" s="9">
        <f t="shared" si="49"/>
        <v>0</v>
      </c>
      <c r="ER14" s="9">
        <f t="shared" si="50"/>
        <v>0</v>
      </c>
      <c r="ES14" s="9">
        <f t="shared" si="51"/>
        <v>0</v>
      </c>
      <c r="ET14" s="9">
        <f t="shared" si="52"/>
        <v>0</v>
      </c>
      <c r="EU14" s="9">
        <f t="shared" si="53"/>
        <v>0</v>
      </c>
      <c r="EV14" s="9">
        <f t="shared" ref="EV14:FA14" si="94">ROUND(ED14-DJ14,0)</f>
        <v>0</v>
      </c>
      <c r="EW14" s="9">
        <f t="shared" si="94"/>
        <v>0</v>
      </c>
      <c r="EX14" s="9">
        <f t="shared" si="94"/>
        <v>0</v>
      </c>
      <c r="EY14" s="9">
        <f t="shared" si="94"/>
        <v>0</v>
      </c>
      <c r="EZ14" s="9">
        <f t="shared" si="94"/>
        <v>0</v>
      </c>
      <c r="FA14" s="9">
        <f t="shared" si="94"/>
        <v>0</v>
      </c>
      <c r="FB14" s="9">
        <f t="shared" si="55"/>
        <v>0</v>
      </c>
      <c r="FC14" s="9">
        <f t="shared" si="56"/>
        <v>0</v>
      </c>
      <c r="FD14" s="9">
        <f t="shared" si="57"/>
        <v>0</v>
      </c>
      <c r="FE14" s="9">
        <f t="shared" si="58"/>
        <v>0</v>
      </c>
      <c r="FF14" s="9"/>
      <c r="FG14" s="9"/>
      <c r="FH14" s="9"/>
      <c r="FI14" s="27"/>
      <c r="FJ14" s="21">
        <v>13650</v>
      </c>
      <c r="FK14" s="28">
        <v>11505</v>
      </c>
      <c r="FL14" s="28">
        <v>12852</v>
      </c>
      <c r="FM14" s="29">
        <v>2280</v>
      </c>
      <c r="FN14" s="28">
        <v>1</v>
      </c>
      <c r="FO14" s="9"/>
    </row>
    <row r="15" spans="1:171">
      <c r="A15" s="2" t="s">
        <v>194</v>
      </c>
      <c r="B15" s="2">
        <v>100232</v>
      </c>
      <c r="C15" s="2">
        <v>2042431</v>
      </c>
      <c r="D15" s="2" t="s">
        <v>195</v>
      </c>
      <c r="E15" s="2">
        <v>383</v>
      </c>
      <c r="F15" s="2">
        <v>383</v>
      </c>
      <c r="G15" s="2">
        <v>52</v>
      </c>
      <c r="H15" s="2">
        <v>331</v>
      </c>
      <c r="I15" s="2">
        <v>0</v>
      </c>
      <c r="J15" s="2">
        <v>0</v>
      </c>
      <c r="K15" s="2">
        <v>0</v>
      </c>
      <c r="L15" s="2">
        <v>0</v>
      </c>
      <c r="M15" s="1">
        <f t="shared" si="5"/>
        <v>1768311</v>
      </c>
      <c r="N15" s="2">
        <v>0.53524804177545704</v>
      </c>
      <c r="O15" s="2">
        <v>0</v>
      </c>
      <c r="P15" s="2">
        <f t="shared" si="6"/>
        <v>205.00000000000006</v>
      </c>
      <c r="Q15" s="2">
        <f t="shared" si="7"/>
        <v>0</v>
      </c>
      <c r="R15" s="1">
        <f t="shared" si="8"/>
        <v>116989.40000000002</v>
      </c>
      <c r="S15" s="2">
        <v>0.53785900783289797</v>
      </c>
      <c r="T15" s="2">
        <v>0</v>
      </c>
      <c r="U15" s="2">
        <f t="shared" si="9"/>
        <v>205.99999999999991</v>
      </c>
      <c r="V15" s="2">
        <f t="shared" si="10"/>
        <v>0</v>
      </c>
      <c r="W15" s="1">
        <f t="shared" si="11"/>
        <v>172667.13999999993</v>
      </c>
      <c r="X15" s="2">
        <v>9.1623036649214701E-2</v>
      </c>
      <c r="Y15" s="2">
        <v>0.20157068062827199</v>
      </c>
      <c r="Z15" s="2">
        <v>9.6858638743455502E-2</v>
      </c>
      <c r="AA15" s="2">
        <v>0.175392670157068</v>
      </c>
      <c r="AB15" s="2">
        <v>0.40314136125654398</v>
      </c>
      <c r="AC15" s="2">
        <v>1.04712041884817E-2</v>
      </c>
      <c r="AD15" s="2">
        <f t="shared" ref="AD15:AI15" si="95">$F15*X15</f>
        <v>35.091623036649231</v>
      </c>
      <c r="AE15" s="2">
        <f t="shared" si="95"/>
        <v>77.20157068062818</v>
      </c>
      <c r="AF15" s="2">
        <f t="shared" si="95"/>
        <v>37.096858638743456</v>
      </c>
      <c r="AG15" s="2">
        <f t="shared" si="95"/>
        <v>67.175392670157038</v>
      </c>
      <c r="AH15" s="2">
        <f t="shared" si="95"/>
        <v>154.40314136125636</v>
      </c>
      <c r="AI15" s="2">
        <f t="shared" si="95"/>
        <v>4.0104712041884909</v>
      </c>
      <c r="AJ15" s="1">
        <f t="shared" ref="AJ15:AO15" si="96">AD15*AJ$3</f>
        <v>9595.8043193717313</v>
      </c>
      <c r="AK15" s="1">
        <f t="shared" si="96"/>
        <v>25700.402879581121</v>
      </c>
      <c r="AL15" s="1">
        <f t="shared" si="96"/>
        <v>19406.108691099478</v>
      </c>
      <c r="AM15" s="1">
        <f t="shared" si="96"/>
        <v>38335.653089005216</v>
      </c>
      <c r="AN15" s="1">
        <f t="shared" si="96"/>
        <v>93622.3447643978</v>
      </c>
      <c r="AO15" s="1">
        <f t="shared" si="96"/>
        <v>3194.661151832468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f t="shared" ref="AV15:BA15" si="97">$I15*AP15</f>
        <v>0</v>
      </c>
      <c r="AW15" s="2">
        <f t="shared" si="97"/>
        <v>0</v>
      </c>
      <c r="AX15" s="2">
        <f t="shared" si="97"/>
        <v>0</v>
      </c>
      <c r="AY15" s="2">
        <f t="shared" si="97"/>
        <v>0</v>
      </c>
      <c r="AZ15" s="2">
        <f t="shared" si="97"/>
        <v>0</v>
      </c>
      <c r="BA15" s="2">
        <f t="shared" si="97"/>
        <v>0</v>
      </c>
      <c r="BB15" s="1">
        <f t="shared" ref="BB15:BG15" si="98">AV15*BB$4</f>
        <v>0</v>
      </c>
      <c r="BC15" s="1">
        <f t="shared" si="98"/>
        <v>0</v>
      </c>
      <c r="BD15" s="1">
        <f t="shared" si="98"/>
        <v>0</v>
      </c>
      <c r="BE15" s="1">
        <f t="shared" si="98"/>
        <v>0</v>
      </c>
      <c r="BF15" s="1">
        <f t="shared" si="98"/>
        <v>0</v>
      </c>
      <c r="BG15" s="1">
        <f t="shared" si="98"/>
        <v>0</v>
      </c>
      <c r="BH15" s="1">
        <f t="shared" si="16"/>
        <v>189854.9748952878</v>
      </c>
      <c r="BI15" s="2">
        <v>0.31419939577039302</v>
      </c>
      <c r="BJ15" s="2">
        <v>0</v>
      </c>
      <c r="BK15" s="2">
        <f t="shared" si="17"/>
        <v>120.33836858006053</v>
      </c>
      <c r="BL15" s="2">
        <f t="shared" si="18"/>
        <v>0</v>
      </c>
      <c r="BM15" s="1">
        <f t="shared" si="19"/>
        <v>82981.728821752346</v>
      </c>
      <c r="BN15" s="2">
        <v>0.28643617021276585</v>
      </c>
      <c r="BO15" s="2">
        <f t="shared" si="20"/>
        <v>109.70505319148933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f t="shared" si="21"/>
        <v>0</v>
      </c>
      <c r="CA15" s="2">
        <f t="shared" si="22"/>
        <v>0</v>
      </c>
      <c r="CB15" s="1">
        <f t="shared" si="23"/>
        <v>150646.97904255314</v>
      </c>
      <c r="CC15" s="2">
        <v>6.0052219321148799E-2</v>
      </c>
      <c r="CD15" s="2">
        <v>0</v>
      </c>
      <c r="CE15" s="2">
        <f t="shared" si="24"/>
        <v>1.9999999999990851E-2</v>
      </c>
      <c r="CF15" s="2">
        <f t="shared" si="25"/>
        <v>0</v>
      </c>
      <c r="CG15" s="1">
        <f t="shared" si="26"/>
        <v>22.470599999989719</v>
      </c>
      <c r="CH15" s="2">
        <v>152181.76000000001</v>
      </c>
      <c r="CI15" s="2">
        <v>33684</v>
      </c>
      <c r="CJ15" s="1">
        <f t="shared" si="27"/>
        <v>1687115</v>
      </c>
      <c r="CK15" s="2">
        <f t="shared" si="28"/>
        <v>0</v>
      </c>
      <c r="CL15" s="2">
        <v>2682072.4896</v>
      </c>
      <c r="CM15" s="22">
        <v>72099.059399999998</v>
      </c>
      <c r="CN15" s="22">
        <v>33684</v>
      </c>
      <c r="CO15" s="2">
        <f t="shared" si="29"/>
        <v>152181.76000000001</v>
      </c>
      <c r="CP15" s="2">
        <f t="shared" si="30"/>
        <v>2568305.7889999999</v>
      </c>
      <c r="CQ15" s="2">
        <v>395</v>
      </c>
      <c r="CR15" s="2">
        <f t="shared" si="31"/>
        <v>6502.0399721518988</v>
      </c>
      <c r="CS15" s="2">
        <f t="shared" si="32"/>
        <v>6513.093440104557</v>
      </c>
      <c r="CT15" s="2">
        <f t="shared" si="33"/>
        <v>2494514.7875600453</v>
      </c>
      <c r="CU15" s="2">
        <f t="shared" si="34"/>
        <v>33684</v>
      </c>
      <c r="CV15" s="2">
        <f t="shared" si="35"/>
        <v>152181.76000000001</v>
      </c>
      <c r="CW15" s="2">
        <f t="shared" si="36"/>
        <v>2680380.5475600455</v>
      </c>
      <c r="CX15" s="1">
        <f t="shared" si="37"/>
        <v>13041.094200452295</v>
      </c>
      <c r="CY15" s="1">
        <f t="shared" si="38"/>
        <v>2680380.547560046</v>
      </c>
      <c r="CZ15" s="2">
        <v>1</v>
      </c>
      <c r="DA15" s="2">
        <f t="shared" si="39"/>
        <v>4603.66</v>
      </c>
      <c r="DB15" s="2">
        <f t="shared" si="40"/>
        <v>10349.099697885205</v>
      </c>
      <c r="DC15" s="2">
        <f t="shared" si="41"/>
        <v>1294.54</v>
      </c>
      <c r="DD15" s="2">
        <f t="shared" si="42"/>
        <v>1156.6600000000001</v>
      </c>
      <c r="DE15" s="2">
        <f t="shared" si="43"/>
        <v>3370.4</v>
      </c>
      <c r="DF15" s="2">
        <f t="shared" si="44"/>
        <v>9996.3000000000011</v>
      </c>
      <c r="DG15" s="1">
        <f t="shared" si="45"/>
        <v>30770.65969788521</v>
      </c>
      <c r="DH15" s="1">
        <f t="shared" si="46"/>
        <v>896786.16335959313</v>
      </c>
      <c r="DI15" s="9">
        <v>1</v>
      </c>
      <c r="DJ15" s="23">
        <v>5.36</v>
      </c>
      <c r="DK15" s="24">
        <v>0.09</v>
      </c>
      <c r="DL15" s="24">
        <v>0.15</v>
      </c>
      <c r="DM15" s="24">
        <v>0.45</v>
      </c>
      <c r="DN15" s="24">
        <v>0</v>
      </c>
      <c r="DO15" s="25">
        <v>6.06</v>
      </c>
      <c r="DP15" s="9">
        <v>8067</v>
      </c>
      <c r="DQ15" s="9">
        <v>32045</v>
      </c>
      <c r="DR15" s="9">
        <v>0</v>
      </c>
      <c r="DS15" s="9" t="str">
        <f t="shared" si="47"/>
        <v>6469459</v>
      </c>
      <c r="DT15" s="9">
        <f t="shared" si="48"/>
        <v>85020.858120000004</v>
      </c>
      <c r="DU15" s="26"/>
      <c r="DV15" s="9"/>
      <c r="DW15" s="9"/>
      <c r="DX15" s="9">
        <v>2667339.4533595927</v>
      </c>
      <c r="DY15" s="9">
        <v>896786.16335959325</v>
      </c>
      <c r="DZ15" s="30">
        <v>2680380.5475600455</v>
      </c>
      <c r="EA15" s="21">
        <v>2680380.5475600455</v>
      </c>
      <c r="EB15" s="9">
        <v>30770.65969788521</v>
      </c>
      <c r="EC15" s="9">
        <v>2649609.8878621603</v>
      </c>
      <c r="ED15" s="9">
        <v>5.36</v>
      </c>
      <c r="EE15" s="9">
        <v>0.09</v>
      </c>
      <c r="EF15" s="9">
        <v>0.15</v>
      </c>
      <c r="EG15" s="9">
        <v>0.45</v>
      </c>
      <c r="EH15" s="9">
        <v>0</v>
      </c>
      <c r="EI15" s="9">
        <v>6.06</v>
      </c>
      <c r="EJ15" s="9">
        <v>0</v>
      </c>
      <c r="EK15" s="9">
        <v>85020.858120000004</v>
      </c>
      <c r="EL15" s="9">
        <v>32045</v>
      </c>
      <c r="EM15" s="9">
        <v>8067</v>
      </c>
      <c r="EN15" s="9">
        <v>2769778.8550079418</v>
      </c>
      <c r="EO15" s="9">
        <v>2774155.7518918426</v>
      </c>
      <c r="EP15" s="9">
        <f t="shared" si="63"/>
        <v>0</v>
      </c>
      <c r="EQ15" s="9">
        <f t="shared" si="49"/>
        <v>0</v>
      </c>
      <c r="ER15" s="9">
        <f t="shared" si="50"/>
        <v>0</v>
      </c>
      <c r="ES15" s="9">
        <f t="shared" si="51"/>
        <v>0</v>
      </c>
      <c r="ET15" s="9">
        <f t="shared" si="52"/>
        <v>0</v>
      </c>
      <c r="EU15" s="9">
        <f t="shared" si="53"/>
        <v>0</v>
      </c>
      <c r="EV15" s="9">
        <f t="shared" ref="EV15:FA15" si="99">ROUND(ED15-DJ15,0)</f>
        <v>0</v>
      </c>
      <c r="EW15" s="9">
        <f t="shared" si="99"/>
        <v>0</v>
      </c>
      <c r="EX15" s="9">
        <f t="shared" si="99"/>
        <v>0</v>
      </c>
      <c r="EY15" s="9">
        <f t="shared" si="99"/>
        <v>0</v>
      </c>
      <c r="EZ15" s="9">
        <f t="shared" si="99"/>
        <v>0</v>
      </c>
      <c r="FA15" s="9">
        <f t="shared" si="99"/>
        <v>0</v>
      </c>
      <c r="FB15" s="9">
        <f t="shared" si="55"/>
        <v>0</v>
      </c>
      <c r="FC15" s="9">
        <f t="shared" si="56"/>
        <v>0</v>
      </c>
      <c r="FD15" s="9">
        <f t="shared" si="57"/>
        <v>0</v>
      </c>
      <c r="FE15" s="9">
        <f t="shared" si="58"/>
        <v>0</v>
      </c>
      <c r="FF15" s="9"/>
      <c r="FG15" s="9"/>
      <c r="FH15" s="9"/>
      <c r="FI15" s="27"/>
      <c r="FJ15" s="21">
        <v>12870</v>
      </c>
      <c r="FK15" s="28">
        <v>7410</v>
      </c>
      <c r="FL15" s="28">
        <v>10080</v>
      </c>
      <c r="FM15" s="29">
        <v>1710</v>
      </c>
      <c r="FN15" s="28">
        <v>4</v>
      </c>
      <c r="FO15" s="9"/>
    </row>
    <row r="16" spans="1:171">
      <c r="A16" s="2" t="s">
        <v>196</v>
      </c>
      <c r="B16" s="2">
        <v>100234</v>
      </c>
      <c r="C16" s="2">
        <v>2042450</v>
      </c>
      <c r="D16" s="2" t="s">
        <v>197</v>
      </c>
      <c r="E16" s="2">
        <v>588</v>
      </c>
      <c r="F16" s="2">
        <v>588</v>
      </c>
      <c r="G16" s="2">
        <v>80</v>
      </c>
      <c r="H16" s="2">
        <v>508</v>
      </c>
      <c r="I16" s="2">
        <v>0</v>
      </c>
      <c r="J16" s="2">
        <v>0</v>
      </c>
      <c r="K16" s="2">
        <v>0</v>
      </c>
      <c r="L16" s="2">
        <v>1</v>
      </c>
      <c r="M16" s="1">
        <f t="shared" si="5"/>
        <v>2714796</v>
      </c>
      <c r="N16" s="2">
        <v>0.52551020408163296</v>
      </c>
      <c r="O16" s="2">
        <v>0</v>
      </c>
      <c r="P16" s="2">
        <f t="shared" si="6"/>
        <v>309.00000000000017</v>
      </c>
      <c r="Q16" s="2">
        <f t="shared" si="7"/>
        <v>0</v>
      </c>
      <c r="R16" s="1">
        <f t="shared" si="8"/>
        <v>176340.12000000008</v>
      </c>
      <c r="S16" s="2">
        <v>0.53401360544217702</v>
      </c>
      <c r="T16" s="2">
        <v>0</v>
      </c>
      <c r="U16" s="2">
        <f t="shared" si="9"/>
        <v>314.00000000000011</v>
      </c>
      <c r="V16" s="2">
        <f t="shared" si="10"/>
        <v>0</v>
      </c>
      <c r="W16" s="1">
        <f t="shared" si="11"/>
        <v>263191.66000000009</v>
      </c>
      <c r="X16" s="2">
        <v>0.17376490630323699</v>
      </c>
      <c r="Y16" s="2">
        <v>0.20442930153322</v>
      </c>
      <c r="Z16" s="2">
        <v>6.47359454855196E-2</v>
      </c>
      <c r="AA16" s="2">
        <v>0.10732538330494</v>
      </c>
      <c r="AB16" s="2">
        <v>0.439522998296423</v>
      </c>
      <c r="AC16" s="2">
        <v>0</v>
      </c>
      <c r="AD16" s="2">
        <f t="shared" ref="AD16:AI16" si="100">$F16*X16</f>
        <v>102.17376490630335</v>
      </c>
      <c r="AE16" s="2">
        <f t="shared" si="100"/>
        <v>120.20442930153337</v>
      </c>
      <c r="AF16" s="2">
        <f t="shared" si="100"/>
        <v>38.064735945485523</v>
      </c>
      <c r="AG16" s="2">
        <f t="shared" si="100"/>
        <v>63.107325383304719</v>
      </c>
      <c r="AH16" s="2">
        <f t="shared" si="100"/>
        <v>258.4395229982967</v>
      </c>
      <c r="AI16" s="2">
        <f t="shared" si="100"/>
        <v>0</v>
      </c>
      <c r="AJ16" s="1">
        <f t="shared" ref="AJ16:AO16" si="101">AD16*AJ$3</f>
        <v>27939.416013628648</v>
      </c>
      <c r="AK16" s="1">
        <f t="shared" si="101"/>
        <v>40016.054514480456</v>
      </c>
      <c r="AL16" s="1">
        <f t="shared" si="101"/>
        <v>19912.424667802388</v>
      </c>
      <c r="AM16" s="1">
        <f t="shared" si="101"/>
        <v>36014.088449744333</v>
      </c>
      <c r="AN16" s="1">
        <f t="shared" si="101"/>
        <v>156704.80477001722</v>
      </c>
      <c r="AO16" s="1">
        <f t="shared" si="101"/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f t="shared" ref="AV16:BA16" si="102">$I16*AP16</f>
        <v>0</v>
      </c>
      <c r="AW16" s="2">
        <f t="shared" si="102"/>
        <v>0</v>
      </c>
      <c r="AX16" s="2">
        <f t="shared" si="102"/>
        <v>0</v>
      </c>
      <c r="AY16" s="2">
        <f t="shared" si="102"/>
        <v>0</v>
      </c>
      <c r="AZ16" s="2">
        <f t="shared" si="102"/>
        <v>0</v>
      </c>
      <c r="BA16" s="2">
        <f t="shared" si="102"/>
        <v>0</v>
      </c>
      <c r="BB16" s="1">
        <f t="shared" ref="BB16:BG16" si="103">AV16*BB$4</f>
        <v>0</v>
      </c>
      <c r="BC16" s="1">
        <f t="shared" si="103"/>
        <v>0</v>
      </c>
      <c r="BD16" s="1">
        <f t="shared" si="103"/>
        <v>0</v>
      </c>
      <c r="BE16" s="1">
        <f t="shared" si="103"/>
        <v>0</v>
      </c>
      <c r="BF16" s="1">
        <f t="shared" si="103"/>
        <v>0</v>
      </c>
      <c r="BG16" s="1">
        <f t="shared" si="103"/>
        <v>0</v>
      </c>
      <c r="BH16" s="1">
        <f t="shared" si="16"/>
        <v>280586.78841567307</v>
      </c>
      <c r="BI16" s="2">
        <v>0.25246548323471402</v>
      </c>
      <c r="BJ16" s="2">
        <v>0</v>
      </c>
      <c r="BK16" s="2">
        <f t="shared" si="17"/>
        <v>148.44970414201185</v>
      </c>
      <c r="BL16" s="2">
        <f t="shared" si="18"/>
        <v>0</v>
      </c>
      <c r="BM16" s="1">
        <f t="shared" si="19"/>
        <v>102366.46248520713</v>
      </c>
      <c r="BN16" s="2">
        <v>0.24791415157612354</v>
      </c>
      <c r="BO16" s="2">
        <f t="shared" si="20"/>
        <v>145.77352112676064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f t="shared" si="21"/>
        <v>0</v>
      </c>
      <c r="CA16" s="2">
        <f t="shared" si="22"/>
        <v>0</v>
      </c>
      <c r="CB16" s="1">
        <f t="shared" si="23"/>
        <v>200176.19921126773</v>
      </c>
      <c r="CC16" s="2">
        <v>7.3129251700680298E-2</v>
      </c>
      <c r="CD16" s="2">
        <v>0</v>
      </c>
      <c r="CE16" s="2">
        <f t="shared" si="24"/>
        <v>7.7200000000000166</v>
      </c>
      <c r="CF16" s="2">
        <f t="shared" si="25"/>
        <v>0</v>
      </c>
      <c r="CG16" s="1">
        <f t="shared" si="26"/>
        <v>8673.6516000000192</v>
      </c>
      <c r="CH16" s="2">
        <v>152181.76000000001</v>
      </c>
      <c r="CI16" s="2">
        <v>31073</v>
      </c>
      <c r="CJ16" s="1">
        <f t="shared" si="27"/>
        <v>2590140</v>
      </c>
      <c r="CK16" s="2">
        <f t="shared" si="28"/>
        <v>0</v>
      </c>
      <c r="CL16" s="2">
        <v>3839503.7960000001</v>
      </c>
      <c r="CM16" s="22">
        <v>103048.9863</v>
      </c>
      <c r="CN16" s="22">
        <v>31073</v>
      </c>
      <c r="CO16" s="2">
        <f t="shared" si="29"/>
        <v>152181.76000000001</v>
      </c>
      <c r="CP16" s="2">
        <f t="shared" si="30"/>
        <v>3759298.0223000003</v>
      </c>
      <c r="CQ16" s="2">
        <v>593</v>
      </c>
      <c r="CR16" s="2">
        <f t="shared" si="31"/>
        <v>6339.4570359190566</v>
      </c>
      <c r="CS16" s="2">
        <f t="shared" si="32"/>
        <v>6350.234112880119</v>
      </c>
      <c r="CT16" s="2">
        <f t="shared" si="33"/>
        <v>3733937.65837351</v>
      </c>
      <c r="CU16" s="2">
        <f t="shared" si="34"/>
        <v>31073</v>
      </c>
      <c r="CV16" s="2">
        <f t="shared" si="35"/>
        <v>152181.76000000001</v>
      </c>
      <c r="CW16" s="2">
        <f t="shared" si="36"/>
        <v>3917192.4183735102</v>
      </c>
      <c r="CX16" s="1">
        <f t="shared" si="37"/>
        <v>0</v>
      </c>
      <c r="CY16" s="1">
        <f t="shared" si="38"/>
        <v>3929385.6417121487</v>
      </c>
      <c r="CZ16" s="2">
        <v>1</v>
      </c>
      <c r="DA16" s="2">
        <f t="shared" si="39"/>
        <v>7067.7599999999993</v>
      </c>
      <c r="DB16" s="2">
        <f t="shared" si="40"/>
        <v>12766.67455621302</v>
      </c>
      <c r="DC16" s="2">
        <f t="shared" si="41"/>
        <v>1987.4399999999998</v>
      </c>
      <c r="DD16" s="2">
        <f t="shared" si="42"/>
        <v>1775.76</v>
      </c>
      <c r="DE16" s="2">
        <f t="shared" si="43"/>
        <v>5174.4000000000005</v>
      </c>
      <c r="DF16" s="2">
        <f t="shared" si="44"/>
        <v>15346.800000000001</v>
      </c>
      <c r="DG16" s="1">
        <f t="shared" si="45"/>
        <v>44118.83455621302</v>
      </c>
      <c r="DH16" s="1">
        <f t="shared" si="46"/>
        <v>1316510.0817121482</v>
      </c>
      <c r="DI16" s="9">
        <v>1</v>
      </c>
      <c r="DJ16" s="23">
        <v>5.36</v>
      </c>
      <c r="DK16" s="24">
        <v>0.37</v>
      </c>
      <c r="DL16" s="24">
        <v>0.16</v>
      </c>
      <c r="DM16" s="24">
        <v>0.45</v>
      </c>
      <c r="DN16" s="24">
        <v>0</v>
      </c>
      <c r="DO16" s="25">
        <v>6.34</v>
      </c>
      <c r="DP16" s="9">
        <v>8779</v>
      </c>
      <c r="DQ16" s="9">
        <v>44805</v>
      </c>
      <c r="DR16" s="9">
        <v>0</v>
      </c>
      <c r="DS16" s="9" t="str">
        <f t="shared" si="47"/>
        <v>6045326</v>
      </c>
      <c r="DT16" s="9">
        <f t="shared" si="48"/>
        <v>127378.51096000001</v>
      </c>
      <c r="DU16" s="26"/>
      <c r="DV16" s="9"/>
      <c r="DW16" s="9"/>
      <c r="DX16" s="9">
        <v>3929385.6417121477</v>
      </c>
      <c r="DY16" s="9">
        <v>1316510.0817121482</v>
      </c>
      <c r="DZ16" s="30">
        <v>3917192.4183735102</v>
      </c>
      <c r="EA16" s="21">
        <v>3929385.6417121477</v>
      </c>
      <c r="EB16" s="9">
        <v>44118.83455621302</v>
      </c>
      <c r="EC16" s="9">
        <v>3885266.8071559346</v>
      </c>
      <c r="ED16" s="9">
        <v>5.36</v>
      </c>
      <c r="EE16" s="9">
        <v>0.37</v>
      </c>
      <c r="EF16" s="9">
        <v>0.16</v>
      </c>
      <c r="EG16" s="9">
        <v>0.45</v>
      </c>
      <c r="EH16" s="9">
        <v>0</v>
      </c>
      <c r="EI16" s="9">
        <v>6.34</v>
      </c>
      <c r="EJ16" s="9">
        <v>0</v>
      </c>
      <c r="EK16" s="9">
        <v>127378.51096000001</v>
      </c>
      <c r="EL16" s="9">
        <v>44805</v>
      </c>
      <c r="EM16" s="9">
        <v>8779</v>
      </c>
      <c r="EN16" s="9">
        <v>4063341.3573699305</v>
      </c>
      <c r="EO16" s="9">
        <v>4069921.7492078468</v>
      </c>
      <c r="EP16" s="9">
        <f t="shared" si="63"/>
        <v>0</v>
      </c>
      <c r="EQ16" s="9">
        <f t="shared" si="49"/>
        <v>0</v>
      </c>
      <c r="ER16" s="9">
        <f t="shared" si="50"/>
        <v>0</v>
      </c>
      <c r="ES16" s="9">
        <f t="shared" si="51"/>
        <v>0</v>
      </c>
      <c r="ET16" s="9">
        <f t="shared" si="52"/>
        <v>0</v>
      </c>
      <c r="EU16" s="9">
        <f t="shared" si="53"/>
        <v>0</v>
      </c>
      <c r="EV16" s="9">
        <f t="shared" ref="EV16:FA16" si="104">ROUND(ED16-DJ16,0)</f>
        <v>0</v>
      </c>
      <c r="EW16" s="9">
        <f t="shared" si="104"/>
        <v>0</v>
      </c>
      <c r="EX16" s="9">
        <f t="shared" si="104"/>
        <v>0</v>
      </c>
      <c r="EY16" s="9">
        <f t="shared" si="104"/>
        <v>0</v>
      </c>
      <c r="EZ16" s="9">
        <f t="shared" si="104"/>
        <v>0</v>
      </c>
      <c r="FA16" s="9">
        <f t="shared" si="104"/>
        <v>0</v>
      </c>
      <c r="FB16" s="9">
        <f t="shared" si="55"/>
        <v>0</v>
      </c>
      <c r="FC16" s="9">
        <f t="shared" si="56"/>
        <v>0</v>
      </c>
      <c r="FD16" s="9">
        <f t="shared" si="57"/>
        <v>0</v>
      </c>
      <c r="FE16" s="9">
        <f t="shared" si="58"/>
        <v>0</v>
      </c>
      <c r="FF16" s="9"/>
      <c r="FG16" s="9"/>
      <c r="FH16" s="9"/>
      <c r="FI16" s="27"/>
      <c r="FJ16" s="21">
        <v>17160</v>
      </c>
      <c r="FK16" s="28">
        <v>10335</v>
      </c>
      <c r="FL16" s="28">
        <v>10980</v>
      </c>
      <c r="FM16" s="29">
        <v>6840</v>
      </c>
      <c r="FN16" s="28">
        <v>0</v>
      </c>
      <c r="FO16" s="9"/>
    </row>
    <row r="17" spans="1:171">
      <c r="A17" s="2" t="s">
        <v>198</v>
      </c>
      <c r="B17" s="2">
        <v>100235</v>
      </c>
      <c r="C17" s="2">
        <v>2042487</v>
      </c>
      <c r="D17" s="2" t="s">
        <v>199</v>
      </c>
      <c r="E17" s="2">
        <v>384</v>
      </c>
      <c r="F17" s="2">
        <v>384</v>
      </c>
      <c r="G17" s="2">
        <v>52</v>
      </c>
      <c r="H17" s="2">
        <v>332</v>
      </c>
      <c r="I17" s="2">
        <v>0</v>
      </c>
      <c r="J17" s="2">
        <v>0</v>
      </c>
      <c r="K17" s="2">
        <v>0</v>
      </c>
      <c r="L17" s="2">
        <v>0</v>
      </c>
      <c r="M17" s="1">
        <f t="shared" si="5"/>
        <v>1772928</v>
      </c>
      <c r="N17" s="2">
        <v>0.36979166666666702</v>
      </c>
      <c r="O17" s="2">
        <v>0</v>
      </c>
      <c r="P17" s="2">
        <f t="shared" si="6"/>
        <v>142.00000000000014</v>
      </c>
      <c r="Q17" s="2">
        <f t="shared" si="7"/>
        <v>0</v>
      </c>
      <c r="R17" s="1">
        <f t="shared" si="8"/>
        <v>81036.56000000007</v>
      </c>
      <c r="S17" s="2">
        <v>0.38020833333333298</v>
      </c>
      <c r="T17" s="2">
        <v>0</v>
      </c>
      <c r="U17" s="2">
        <f t="shared" si="9"/>
        <v>145.99999999999986</v>
      </c>
      <c r="V17" s="2">
        <f t="shared" si="10"/>
        <v>0</v>
      </c>
      <c r="W17" s="1">
        <f t="shared" si="11"/>
        <v>122375.73999999989</v>
      </c>
      <c r="X17" s="2">
        <v>0.1328125</v>
      </c>
      <c r="Y17" s="2">
        <v>0.18489583333333301</v>
      </c>
      <c r="Z17" s="2">
        <v>0.16666666666666699</v>
      </c>
      <c r="AA17" s="2">
        <v>9.8958333333333301E-2</v>
      </c>
      <c r="AB17" s="2">
        <v>0.35416666666666702</v>
      </c>
      <c r="AC17" s="2">
        <v>2.6041666666666699E-2</v>
      </c>
      <c r="AD17" s="2">
        <f t="shared" ref="AD17:AI17" si="105">$F17*X17</f>
        <v>51</v>
      </c>
      <c r="AE17" s="2">
        <f t="shared" si="105"/>
        <v>70.999999999999872</v>
      </c>
      <c r="AF17" s="2">
        <f t="shared" si="105"/>
        <v>64.000000000000128</v>
      </c>
      <c r="AG17" s="2">
        <f t="shared" si="105"/>
        <v>37.999999999999986</v>
      </c>
      <c r="AH17" s="2">
        <f t="shared" si="105"/>
        <v>136.00000000000014</v>
      </c>
      <c r="AI17" s="2">
        <f t="shared" si="105"/>
        <v>10.000000000000012</v>
      </c>
      <c r="AJ17" s="1">
        <f t="shared" ref="AJ17:AO17" si="106">AD17*AJ$3</f>
        <v>13945.949999999999</v>
      </c>
      <c r="AK17" s="1">
        <f t="shared" si="106"/>
        <v>23635.899999999954</v>
      </c>
      <c r="AL17" s="1">
        <f t="shared" si="106"/>
        <v>33479.680000000066</v>
      </c>
      <c r="AM17" s="1">
        <f t="shared" si="106"/>
        <v>21685.839999999989</v>
      </c>
      <c r="AN17" s="1">
        <f t="shared" si="106"/>
        <v>82463.600000000093</v>
      </c>
      <c r="AO17" s="1">
        <f t="shared" si="106"/>
        <v>7965.8000000000102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f t="shared" ref="AV17:BA17" si="107">$I17*AP17</f>
        <v>0</v>
      </c>
      <c r="AW17" s="2">
        <f t="shared" si="107"/>
        <v>0</v>
      </c>
      <c r="AX17" s="2">
        <f t="shared" si="107"/>
        <v>0</v>
      </c>
      <c r="AY17" s="2">
        <f t="shared" si="107"/>
        <v>0</v>
      </c>
      <c r="AZ17" s="2">
        <f t="shared" si="107"/>
        <v>0</v>
      </c>
      <c r="BA17" s="2">
        <f t="shared" si="107"/>
        <v>0</v>
      </c>
      <c r="BB17" s="1">
        <f t="shared" ref="BB17:BG17" si="108">AV17*BB$4</f>
        <v>0</v>
      </c>
      <c r="BC17" s="1">
        <f t="shared" si="108"/>
        <v>0</v>
      </c>
      <c r="BD17" s="1">
        <f t="shared" si="108"/>
        <v>0</v>
      </c>
      <c r="BE17" s="1">
        <f t="shared" si="108"/>
        <v>0</v>
      </c>
      <c r="BF17" s="1">
        <f t="shared" si="108"/>
        <v>0</v>
      </c>
      <c r="BG17" s="1">
        <f t="shared" si="108"/>
        <v>0</v>
      </c>
      <c r="BH17" s="1">
        <f t="shared" si="16"/>
        <v>183176.77000000014</v>
      </c>
      <c r="BI17" s="2">
        <v>0.30120481927710802</v>
      </c>
      <c r="BJ17" s="2">
        <v>0</v>
      </c>
      <c r="BK17" s="2">
        <f t="shared" si="17"/>
        <v>115.66265060240949</v>
      </c>
      <c r="BL17" s="2">
        <f t="shared" si="18"/>
        <v>0</v>
      </c>
      <c r="BM17" s="1">
        <f t="shared" si="19"/>
        <v>79757.493975903519</v>
      </c>
      <c r="BN17" s="2">
        <v>0.27926153846153851</v>
      </c>
      <c r="BO17" s="2">
        <f t="shared" si="20"/>
        <v>107.23643076923079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f t="shared" si="21"/>
        <v>0</v>
      </c>
      <c r="CA17" s="2">
        <f t="shared" si="22"/>
        <v>0</v>
      </c>
      <c r="CB17" s="1">
        <f t="shared" si="23"/>
        <v>147257.06673230772</v>
      </c>
      <c r="CC17" s="2">
        <v>3.3854166666666699E-2</v>
      </c>
      <c r="CD17" s="2">
        <v>0</v>
      </c>
      <c r="CE17" s="2">
        <f t="shared" si="24"/>
        <v>0</v>
      </c>
      <c r="CF17" s="2">
        <f t="shared" si="25"/>
        <v>0</v>
      </c>
      <c r="CG17" s="1">
        <f t="shared" si="26"/>
        <v>0</v>
      </c>
      <c r="CH17" s="2">
        <v>152181.76000000001</v>
      </c>
      <c r="CI17" s="2">
        <v>43474</v>
      </c>
      <c r="CJ17" s="1">
        <f t="shared" si="27"/>
        <v>1691520</v>
      </c>
      <c r="CK17" s="2">
        <f t="shared" si="28"/>
        <v>0</v>
      </c>
      <c r="CL17" s="2">
        <v>2624271.7958999998</v>
      </c>
      <c r="CM17" s="22">
        <v>64708.8465</v>
      </c>
      <c r="CN17" s="22">
        <v>43474</v>
      </c>
      <c r="CO17" s="2">
        <f t="shared" si="29"/>
        <v>152181.76000000001</v>
      </c>
      <c r="CP17" s="2">
        <f t="shared" si="30"/>
        <v>2493324.8823999995</v>
      </c>
      <c r="CQ17" s="2">
        <v>400</v>
      </c>
      <c r="CR17" s="2">
        <f t="shared" si="31"/>
        <v>6233.3122059999987</v>
      </c>
      <c r="CS17" s="2">
        <f t="shared" si="32"/>
        <v>6243.908836750199</v>
      </c>
      <c r="CT17" s="2">
        <f t="shared" si="33"/>
        <v>2397660.9933120767</v>
      </c>
      <c r="CU17" s="2">
        <f t="shared" si="34"/>
        <v>43474</v>
      </c>
      <c r="CV17" s="2">
        <f t="shared" si="35"/>
        <v>152181.76000000001</v>
      </c>
      <c r="CW17" s="2">
        <f t="shared" si="36"/>
        <v>2593316.7533120764</v>
      </c>
      <c r="CX17" s="1">
        <f t="shared" si="37"/>
        <v>11129.362603865156</v>
      </c>
      <c r="CY17" s="1">
        <f t="shared" si="38"/>
        <v>2593316.7533120769</v>
      </c>
      <c r="CZ17" s="2">
        <v>1</v>
      </c>
      <c r="DA17" s="2">
        <f t="shared" si="39"/>
        <v>4615.68</v>
      </c>
      <c r="DB17" s="2">
        <f t="shared" si="40"/>
        <v>9946.9879518072157</v>
      </c>
      <c r="DC17" s="2">
        <f t="shared" si="41"/>
        <v>1297.92</v>
      </c>
      <c r="DD17" s="2">
        <f t="shared" si="42"/>
        <v>1159.68</v>
      </c>
      <c r="DE17" s="2">
        <f t="shared" si="43"/>
        <v>3379.2000000000003</v>
      </c>
      <c r="DF17" s="2">
        <f t="shared" si="44"/>
        <v>10022.400000000001</v>
      </c>
      <c r="DG17" s="1">
        <f t="shared" si="45"/>
        <v>30421.867951807217</v>
      </c>
      <c r="DH17" s="1">
        <f t="shared" si="46"/>
        <v>833964.83070821129</v>
      </c>
      <c r="DI17" s="9">
        <v>1</v>
      </c>
      <c r="DJ17" s="23">
        <v>5.36</v>
      </c>
      <c r="DK17" s="24">
        <v>0.1</v>
      </c>
      <c r="DL17" s="24">
        <v>0.18</v>
      </c>
      <c r="DM17" s="24">
        <v>0.45</v>
      </c>
      <c r="DN17" s="24">
        <v>0</v>
      </c>
      <c r="DO17" s="25">
        <v>6.09</v>
      </c>
      <c r="DP17" s="9">
        <v>8075</v>
      </c>
      <c r="DQ17" s="9">
        <v>22737</v>
      </c>
      <c r="DR17" s="9">
        <v>10</v>
      </c>
      <c r="DS17" s="9" t="str">
        <f t="shared" si="47"/>
        <v>5759540</v>
      </c>
      <c r="DT17" s="9">
        <f t="shared" si="48"/>
        <v>77743.478799999983</v>
      </c>
      <c r="DU17" s="26"/>
      <c r="DV17" s="9"/>
      <c r="DW17" s="9"/>
      <c r="DX17" s="9">
        <v>2582187.3907082118</v>
      </c>
      <c r="DY17" s="9">
        <v>833964.83070821129</v>
      </c>
      <c r="DZ17" s="30">
        <v>2593316.7533120764</v>
      </c>
      <c r="EA17" s="21">
        <v>2593316.7533120764</v>
      </c>
      <c r="EB17" s="9">
        <v>30421.867951807217</v>
      </c>
      <c r="EC17" s="9">
        <v>2562894.8853602693</v>
      </c>
      <c r="ED17" s="9">
        <v>5.36</v>
      </c>
      <c r="EE17" s="9">
        <v>0.1</v>
      </c>
      <c r="EF17" s="9">
        <v>0.18</v>
      </c>
      <c r="EG17" s="9">
        <v>0.45</v>
      </c>
      <c r="EH17" s="9">
        <v>0</v>
      </c>
      <c r="EI17" s="9">
        <v>6.09</v>
      </c>
      <c r="EJ17" s="9">
        <v>10</v>
      </c>
      <c r="EK17" s="9">
        <v>77743.478799999983</v>
      </c>
      <c r="EL17" s="9">
        <v>22737</v>
      </c>
      <c r="EM17" s="9">
        <v>8075</v>
      </c>
      <c r="EN17" s="9">
        <v>2675260.6584449075</v>
      </c>
      <c r="EO17" s="9">
        <v>2679460.2313946513</v>
      </c>
      <c r="EP17" s="9">
        <f t="shared" si="63"/>
        <v>0</v>
      </c>
      <c r="EQ17" s="9">
        <f t="shared" si="49"/>
        <v>0</v>
      </c>
      <c r="ER17" s="9">
        <f t="shared" si="50"/>
        <v>0</v>
      </c>
      <c r="ES17" s="9">
        <f t="shared" si="51"/>
        <v>0</v>
      </c>
      <c r="ET17" s="9">
        <f t="shared" si="52"/>
        <v>0</v>
      </c>
      <c r="EU17" s="9">
        <f t="shared" si="53"/>
        <v>0</v>
      </c>
      <c r="EV17" s="9">
        <f t="shared" ref="EV17:FA17" si="109">ROUND(ED17-DJ17,0)</f>
        <v>0</v>
      </c>
      <c r="EW17" s="9">
        <f t="shared" si="109"/>
        <v>0</v>
      </c>
      <c r="EX17" s="9">
        <f t="shared" si="109"/>
        <v>0</v>
      </c>
      <c r="EY17" s="9">
        <f t="shared" si="109"/>
        <v>0</v>
      </c>
      <c r="EZ17" s="9">
        <f t="shared" si="109"/>
        <v>0</v>
      </c>
      <c r="FA17" s="9">
        <f t="shared" si="109"/>
        <v>0</v>
      </c>
      <c r="FB17" s="9">
        <f t="shared" si="55"/>
        <v>0</v>
      </c>
      <c r="FC17" s="9">
        <f t="shared" si="56"/>
        <v>0</v>
      </c>
      <c r="FD17" s="9">
        <f t="shared" si="57"/>
        <v>0</v>
      </c>
      <c r="FE17" s="9">
        <f t="shared" si="58"/>
        <v>0</v>
      </c>
      <c r="FF17" s="9"/>
      <c r="FG17" s="9"/>
      <c r="FH17" s="9"/>
      <c r="FI17" s="27"/>
      <c r="FJ17" s="21">
        <v>7995</v>
      </c>
      <c r="FK17" s="28">
        <v>6045</v>
      </c>
      <c r="FL17" s="28">
        <v>7200</v>
      </c>
      <c r="FM17" s="29">
        <v>1140</v>
      </c>
      <c r="FN17" s="28">
        <v>1</v>
      </c>
      <c r="FO17" s="9"/>
    </row>
    <row r="18" spans="1:171">
      <c r="A18" s="2" t="s">
        <v>200</v>
      </c>
      <c r="B18" s="2">
        <v>100236</v>
      </c>
      <c r="C18" s="2">
        <v>2042489</v>
      </c>
      <c r="D18" s="2" t="s">
        <v>201</v>
      </c>
      <c r="E18" s="2">
        <v>241</v>
      </c>
      <c r="F18" s="2">
        <v>241</v>
      </c>
      <c r="G18" s="2">
        <v>28</v>
      </c>
      <c r="H18" s="2">
        <v>213</v>
      </c>
      <c r="I18" s="2">
        <v>0</v>
      </c>
      <c r="J18" s="2">
        <v>0</v>
      </c>
      <c r="K18" s="2">
        <v>0</v>
      </c>
      <c r="L18" s="2">
        <v>0</v>
      </c>
      <c r="M18" s="1">
        <f t="shared" si="5"/>
        <v>1112697</v>
      </c>
      <c r="N18" s="2">
        <v>0.47717842323651499</v>
      </c>
      <c r="O18" s="2">
        <v>0</v>
      </c>
      <c r="P18" s="2">
        <f t="shared" si="6"/>
        <v>115.00000000000011</v>
      </c>
      <c r="Q18" s="2">
        <f t="shared" si="7"/>
        <v>0</v>
      </c>
      <c r="R18" s="1">
        <f t="shared" si="8"/>
        <v>65628.200000000055</v>
      </c>
      <c r="S18" s="2">
        <v>0.47717842323651499</v>
      </c>
      <c r="T18" s="2">
        <v>0</v>
      </c>
      <c r="U18" s="2">
        <f t="shared" si="9"/>
        <v>115.00000000000011</v>
      </c>
      <c r="V18" s="2">
        <f t="shared" si="10"/>
        <v>0</v>
      </c>
      <c r="W18" s="1">
        <f t="shared" si="11"/>
        <v>96391.850000000108</v>
      </c>
      <c r="X18" s="2">
        <v>3.3195020746888002E-2</v>
      </c>
      <c r="Y18" s="2">
        <v>7.4688796680497896E-2</v>
      </c>
      <c r="Z18" s="2">
        <v>0.39419087136929498</v>
      </c>
      <c r="AA18" s="2">
        <v>6.6390041493775906E-2</v>
      </c>
      <c r="AB18" s="2">
        <v>0.39419087136929498</v>
      </c>
      <c r="AC18" s="2">
        <v>1.6597510373444001E-2</v>
      </c>
      <c r="AD18" s="2">
        <f t="shared" ref="AD18:AI18" si="110">$F18*X18</f>
        <v>8.0000000000000089</v>
      </c>
      <c r="AE18" s="2">
        <f t="shared" si="110"/>
        <v>17.999999999999993</v>
      </c>
      <c r="AF18" s="2">
        <f t="shared" si="110"/>
        <v>95.000000000000085</v>
      </c>
      <c r="AG18" s="2">
        <f t="shared" si="110"/>
        <v>15.999999999999993</v>
      </c>
      <c r="AH18" s="2">
        <f t="shared" si="110"/>
        <v>95.000000000000085</v>
      </c>
      <c r="AI18" s="2">
        <f t="shared" si="110"/>
        <v>4.0000000000000044</v>
      </c>
      <c r="AJ18" s="1">
        <f t="shared" ref="AJ18:AO18" si="111">AD18*AJ$3</f>
        <v>2187.6000000000022</v>
      </c>
      <c r="AK18" s="1">
        <f t="shared" si="111"/>
        <v>5992.1999999999971</v>
      </c>
      <c r="AL18" s="1">
        <f t="shared" si="111"/>
        <v>49696.400000000045</v>
      </c>
      <c r="AM18" s="1">
        <f t="shared" si="111"/>
        <v>9130.8799999999956</v>
      </c>
      <c r="AN18" s="1">
        <f t="shared" si="111"/>
        <v>57603.250000000051</v>
      </c>
      <c r="AO18" s="1">
        <f t="shared" si="111"/>
        <v>3186.3200000000038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f t="shared" ref="AV18:BA18" si="112">$I18*AP18</f>
        <v>0</v>
      </c>
      <c r="AW18" s="2">
        <f t="shared" si="112"/>
        <v>0</v>
      </c>
      <c r="AX18" s="2">
        <f t="shared" si="112"/>
        <v>0</v>
      </c>
      <c r="AY18" s="2">
        <f t="shared" si="112"/>
        <v>0</v>
      </c>
      <c r="AZ18" s="2">
        <f t="shared" si="112"/>
        <v>0</v>
      </c>
      <c r="BA18" s="2">
        <f t="shared" si="112"/>
        <v>0</v>
      </c>
      <c r="BB18" s="1">
        <f t="shared" ref="BB18:BG18" si="113">AV18*BB$4</f>
        <v>0</v>
      </c>
      <c r="BC18" s="1">
        <f t="shared" si="113"/>
        <v>0</v>
      </c>
      <c r="BD18" s="1">
        <f t="shared" si="113"/>
        <v>0</v>
      </c>
      <c r="BE18" s="1">
        <f t="shared" si="113"/>
        <v>0</v>
      </c>
      <c r="BF18" s="1">
        <f t="shared" si="113"/>
        <v>0</v>
      </c>
      <c r="BG18" s="1">
        <f t="shared" si="113"/>
        <v>0</v>
      </c>
      <c r="BH18" s="1">
        <f t="shared" si="16"/>
        <v>127796.65000000008</v>
      </c>
      <c r="BI18" s="2">
        <v>0.40375586854460099</v>
      </c>
      <c r="BJ18" s="2">
        <v>0</v>
      </c>
      <c r="BK18" s="2">
        <f t="shared" si="17"/>
        <v>97.305164319248846</v>
      </c>
      <c r="BL18" s="2">
        <f t="shared" si="18"/>
        <v>0</v>
      </c>
      <c r="BM18" s="1">
        <f t="shared" si="19"/>
        <v>67098.722159624434</v>
      </c>
      <c r="BN18" s="2">
        <v>0.31004975124378126</v>
      </c>
      <c r="BO18" s="2">
        <f t="shared" si="20"/>
        <v>74.721990049751284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f t="shared" si="21"/>
        <v>0</v>
      </c>
      <c r="CA18" s="2">
        <f t="shared" si="22"/>
        <v>0</v>
      </c>
      <c r="CB18" s="1">
        <f t="shared" si="23"/>
        <v>102608.23673631846</v>
      </c>
      <c r="CC18" s="2">
        <v>4.5643153526971E-2</v>
      </c>
      <c r="CD18" s="2">
        <v>0</v>
      </c>
      <c r="CE18" s="2">
        <f t="shared" si="24"/>
        <v>0</v>
      </c>
      <c r="CF18" s="2">
        <f t="shared" si="25"/>
        <v>0</v>
      </c>
      <c r="CG18" s="1">
        <f t="shared" si="26"/>
        <v>0</v>
      </c>
      <c r="CH18" s="2">
        <v>152181.76000000001</v>
      </c>
      <c r="CI18" s="2">
        <v>31334</v>
      </c>
      <c r="CJ18" s="1">
        <f t="shared" si="27"/>
        <v>1061605</v>
      </c>
      <c r="CK18" s="2">
        <f t="shared" si="28"/>
        <v>0</v>
      </c>
      <c r="CL18" s="2">
        <v>2015054.2268999999</v>
      </c>
      <c r="CM18" s="22">
        <v>50725.567300000002</v>
      </c>
      <c r="CN18" s="22">
        <v>31334</v>
      </c>
      <c r="CO18" s="2">
        <f t="shared" si="29"/>
        <v>152181.76000000001</v>
      </c>
      <c r="CP18" s="2">
        <f t="shared" si="30"/>
        <v>1882264.0341999999</v>
      </c>
      <c r="CQ18" s="2">
        <v>296</v>
      </c>
      <c r="CR18" s="2">
        <f t="shared" si="31"/>
        <v>6359.0001155405398</v>
      </c>
      <c r="CS18" s="2">
        <f t="shared" si="32"/>
        <v>6369.8104157369589</v>
      </c>
      <c r="CT18" s="2">
        <f t="shared" si="33"/>
        <v>1535124.3101926071</v>
      </c>
      <c r="CU18" s="2">
        <f t="shared" si="34"/>
        <v>31334</v>
      </c>
      <c r="CV18" s="2">
        <f t="shared" si="35"/>
        <v>152181.76000000001</v>
      </c>
      <c r="CW18" s="2">
        <f t="shared" si="36"/>
        <v>1718640.0701926071</v>
      </c>
      <c r="CX18" s="1">
        <f t="shared" si="37"/>
        <v>0</v>
      </c>
      <c r="CY18" s="1">
        <f t="shared" si="38"/>
        <v>1755736.4188959431</v>
      </c>
      <c r="CZ18" s="2">
        <v>1</v>
      </c>
      <c r="DA18" s="2">
        <f t="shared" si="39"/>
        <v>2896.8199999999997</v>
      </c>
      <c r="DB18" s="2">
        <f t="shared" si="40"/>
        <v>8368.2441314553998</v>
      </c>
      <c r="DC18" s="2">
        <f t="shared" si="41"/>
        <v>814.57999999999993</v>
      </c>
      <c r="DD18" s="2">
        <f t="shared" si="42"/>
        <v>727.82</v>
      </c>
      <c r="DE18" s="2">
        <f t="shared" si="43"/>
        <v>2120.8000000000002</v>
      </c>
      <c r="DF18" s="2">
        <f t="shared" si="44"/>
        <v>6290.1</v>
      </c>
      <c r="DG18" s="1">
        <f t="shared" si="45"/>
        <v>21218.364131455397</v>
      </c>
      <c r="DH18" s="1">
        <f t="shared" si="46"/>
        <v>583053.94889594312</v>
      </c>
      <c r="DI18" s="9">
        <v>1</v>
      </c>
      <c r="DJ18" s="23">
        <v>5.36</v>
      </c>
      <c r="DK18" s="24">
        <v>0.19</v>
      </c>
      <c r="DL18" s="24">
        <v>0.19</v>
      </c>
      <c r="DM18" s="24">
        <v>0.45</v>
      </c>
      <c r="DN18" s="24">
        <v>0</v>
      </c>
      <c r="DO18" s="25">
        <v>6.19</v>
      </c>
      <c r="DP18" s="9">
        <v>7758</v>
      </c>
      <c r="DQ18" s="9">
        <v>17690</v>
      </c>
      <c r="DR18" s="9">
        <v>0</v>
      </c>
      <c r="DS18" s="9" t="str">
        <f t="shared" si="47"/>
        <v>8590919</v>
      </c>
      <c r="DT18" s="9">
        <f t="shared" si="48"/>
        <v>53678.549080000019</v>
      </c>
      <c r="DU18" s="26"/>
      <c r="DV18" s="9"/>
      <c r="DW18" s="9"/>
      <c r="DX18" s="9">
        <v>1755736.4188959431</v>
      </c>
      <c r="DY18" s="9">
        <v>583053.94889594312</v>
      </c>
      <c r="DZ18" s="30">
        <v>1718640.0701926071</v>
      </c>
      <c r="EA18" s="21">
        <v>1755736.4188959431</v>
      </c>
      <c r="EB18" s="9">
        <v>21218.364131455397</v>
      </c>
      <c r="EC18" s="9">
        <v>1734518.0547644878</v>
      </c>
      <c r="ED18" s="9">
        <v>5.36</v>
      </c>
      <c r="EE18" s="9">
        <v>0.19</v>
      </c>
      <c r="EF18" s="9">
        <v>0.19</v>
      </c>
      <c r="EG18" s="9">
        <v>0.45</v>
      </c>
      <c r="EH18" s="9">
        <v>0</v>
      </c>
      <c r="EI18" s="9">
        <v>6.19</v>
      </c>
      <c r="EJ18" s="9">
        <v>0</v>
      </c>
      <c r="EK18" s="9">
        <v>53678.549080000019</v>
      </c>
      <c r="EL18" s="9">
        <v>17690</v>
      </c>
      <c r="EM18" s="9">
        <v>7758</v>
      </c>
      <c r="EN18" s="9">
        <v>1812171.2353597423</v>
      </c>
      <c r="EO18" s="9">
        <v>1814924.194290241</v>
      </c>
      <c r="EP18" s="9">
        <f t="shared" si="63"/>
        <v>0</v>
      </c>
      <c r="EQ18" s="9">
        <f t="shared" si="49"/>
        <v>0</v>
      </c>
      <c r="ER18" s="9">
        <f t="shared" si="50"/>
        <v>0</v>
      </c>
      <c r="ES18" s="9">
        <f t="shared" si="51"/>
        <v>0</v>
      </c>
      <c r="ET18" s="9">
        <f t="shared" si="52"/>
        <v>0</v>
      </c>
      <c r="EU18" s="9">
        <f t="shared" si="53"/>
        <v>0</v>
      </c>
      <c r="EV18" s="9">
        <f t="shared" ref="EV18:FA18" si="114">ROUND(ED18-DJ18,0)</f>
        <v>0</v>
      </c>
      <c r="EW18" s="9">
        <f t="shared" si="114"/>
        <v>0</v>
      </c>
      <c r="EX18" s="9">
        <f t="shared" si="114"/>
        <v>0</v>
      </c>
      <c r="EY18" s="9">
        <f t="shared" si="114"/>
        <v>0</v>
      </c>
      <c r="EZ18" s="9">
        <f t="shared" si="114"/>
        <v>0</v>
      </c>
      <c r="FA18" s="9">
        <f t="shared" si="114"/>
        <v>0</v>
      </c>
      <c r="FB18" s="9">
        <f t="shared" si="55"/>
        <v>0</v>
      </c>
      <c r="FC18" s="9">
        <f t="shared" si="56"/>
        <v>0</v>
      </c>
      <c r="FD18" s="9">
        <f t="shared" si="57"/>
        <v>0</v>
      </c>
      <c r="FE18" s="9">
        <f t="shared" si="58"/>
        <v>0</v>
      </c>
      <c r="FF18" s="9"/>
      <c r="FG18" s="9"/>
      <c r="FH18" s="9"/>
      <c r="FI18" s="27"/>
      <c r="FJ18" s="21">
        <v>9165</v>
      </c>
      <c r="FK18" s="28">
        <v>4875</v>
      </c>
      <c r="FL18" s="28">
        <v>5220</v>
      </c>
      <c r="FM18" s="29">
        <v>1710</v>
      </c>
      <c r="FN18" s="28">
        <v>0</v>
      </c>
      <c r="FO18" s="9"/>
    </row>
    <row r="19" spans="1:171">
      <c r="A19" s="2" t="s">
        <v>202</v>
      </c>
      <c r="B19" s="2">
        <v>100239</v>
      </c>
      <c r="C19" s="2">
        <v>2042532</v>
      </c>
      <c r="D19" s="2" t="s">
        <v>203</v>
      </c>
      <c r="E19" s="2">
        <v>215</v>
      </c>
      <c r="F19" s="2">
        <v>215</v>
      </c>
      <c r="G19" s="2">
        <v>20</v>
      </c>
      <c r="H19" s="2">
        <v>195</v>
      </c>
      <c r="I19" s="2">
        <v>0</v>
      </c>
      <c r="J19" s="2">
        <v>0</v>
      </c>
      <c r="K19" s="2">
        <v>0</v>
      </c>
      <c r="L19" s="2">
        <v>0</v>
      </c>
      <c r="M19" s="1">
        <f t="shared" si="5"/>
        <v>992655</v>
      </c>
      <c r="N19" s="2">
        <v>0.42325581395348799</v>
      </c>
      <c r="O19" s="2">
        <v>0</v>
      </c>
      <c r="P19" s="2">
        <f t="shared" si="6"/>
        <v>90.999999999999915</v>
      </c>
      <c r="Q19" s="2">
        <f t="shared" si="7"/>
        <v>0</v>
      </c>
      <c r="R19" s="1">
        <f t="shared" si="8"/>
        <v>51931.879999999946</v>
      </c>
      <c r="S19" s="2">
        <v>0.43255813953488398</v>
      </c>
      <c r="T19" s="2">
        <v>0</v>
      </c>
      <c r="U19" s="2">
        <f t="shared" si="9"/>
        <v>93.000000000000057</v>
      </c>
      <c r="V19" s="2">
        <f t="shared" si="10"/>
        <v>0</v>
      </c>
      <c r="W19" s="1">
        <f t="shared" si="11"/>
        <v>77951.670000000056</v>
      </c>
      <c r="X19" s="2">
        <v>7.9069767441860506E-2</v>
      </c>
      <c r="Y19" s="2">
        <v>0.31162790697674397</v>
      </c>
      <c r="Z19" s="2">
        <v>0.13488372093023299</v>
      </c>
      <c r="AA19" s="2">
        <v>0.111627906976744</v>
      </c>
      <c r="AB19" s="2">
        <v>0.26046511627906999</v>
      </c>
      <c r="AC19" s="2">
        <v>9.3023255813953504E-3</v>
      </c>
      <c r="AD19" s="2">
        <f t="shared" ref="AD19:AI19" si="115">$F19*X19</f>
        <v>17.000000000000007</v>
      </c>
      <c r="AE19" s="2">
        <f t="shared" si="115"/>
        <v>66.999999999999957</v>
      </c>
      <c r="AF19" s="2">
        <f t="shared" si="115"/>
        <v>29.000000000000092</v>
      </c>
      <c r="AG19" s="2">
        <f t="shared" si="115"/>
        <v>23.999999999999961</v>
      </c>
      <c r="AH19" s="2">
        <f t="shared" si="115"/>
        <v>56.00000000000005</v>
      </c>
      <c r="AI19" s="2">
        <f t="shared" si="115"/>
        <v>2.0000000000000004</v>
      </c>
      <c r="AJ19" s="1">
        <f t="shared" ref="AJ19:AO19" si="116">AD19*AJ$3</f>
        <v>4648.6500000000015</v>
      </c>
      <c r="AK19" s="1">
        <f t="shared" si="116"/>
        <v>22304.299999999985</v>
      </c>
      <c r="AL19" s="1">
        <f t="shared" si="116"/>
        <v>15170.480000000049</v>
      </c>
      <c r="AM19" s="1">
        <f t="shared" si="116"/>
        <v>13696.319999999976</v>
      </c>
      <c r="AN19" s="1">
        <f t="shared" si="116"/>
        <v>33955.600000000035</v>
      </c>
      <c r="AO19" s="1">
        <f t="shared" si="116"/>
        <v>1593.1600000000005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f t="shared" ref="AV19:BA19" si="117">$I19*AP19</f>
        <v>0</v>
      </c>
      <c r="AW19" s="2">
        <f t="shared" si="117"/>
        <v>0</v>
      </c>
      <c r="AX19" s="2">
        <f t="shared" si="117"/>
        <v>0</v>
      </c>
      <c r="AY19" s="2">
        <f t="shared" si="117"/>
        <v>0</v>
      </c>
      <c r="AZ19" s="2">
        <f t="shared" si="117"/>
        <v>0</v>
      </c>
      <c r="BA19" s="2">
        <f t="shared" si="117"/>
        <v>0</v>
      </c>
      <c r="BB19" s="1">
        <f t="shared" ref="BB19:BG19" si="118">AV19*BB$4</f>
        <v>0</v>
      </c>
      <c r="BC19" s="1">
        <f t="shared" si="118"/>
        <v>0</v>
      </c>
      <c r="BD19" s="1">
        <f t="shared" si="118"/>
        <v>0</v>
      </c>
      <c r="BE19" s="1">
        <f t="shared" si="118"/>
        <v>0</v>
      </c>
      <c r="BF19" s="1">
        <f t="shared" si="118"/>
        <v>0</v>
      </c>
      <c r="BG19" s="1">
        <f t="shared" si="118"/>
        <v>0</v>
      </c>
      <c r="BH19" s="1">
        <f t="shared" si="16"/>
        <v>91368.510000000053</v>
      </c>
      <c r="BI19" s="2">
        <v>0.266666666666667</v>
      </c>
      <c r="BJ19" s="2">
        <v>0</v>
      </c>
      <c r="BK19" s="2">
        <f t="shared" si="17"/>
        <v>57.333333333333407</v>
      </c>
      <c r="BL19" s="2">
        <f t="shared" si="18"/>
        <v>0</v>
      </c>
      <c r="BM19" s="1">
        <f t="shared" si="19"/>
        <v>39535.346666666723</v>
      </c>
      <c r="BN19" s="2">
        <v>0.31310344827586201</v>
      </c>
      <c r="BO19" s="2">
        <f t="shared" si="20"/>
        <v>67.317241379310332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f t="shared" si="21"/>
        <v>0</v>
      </c>
      <c r="CA19" s="2">
        <f t="shared" si="22"/>
        <v>0</v>
      </c>
      <c r="CB19" s="1">
        <f t="shared" si="23"/>
        <v>92440.035862068951</v>
      </c>
      <c r="CC19" s="2">
        <v>0.12093023255814001</v>
      </c>
      <c r="CD19" s="2">
        <v>0</v>
      </c>
      <c r="CE19" s="2">
        <f t="shared" si="24"/>
        <v>13.100000000000101</v>
      </c>
      <c r="CF19" s="2">
        <f t="shared" si="25"/>
        <v>0</v>
      </c>
      <c r="CG19" s="1">
        <f t="shared" si="26"/>
        <v>14718.243000000113</v>
      </c>
      <c r="CH19" s="2">
        <v>152181.76000000001</v>
      </c>
      <c r="CI19" s="2">
        <v>38527</v>
      </c>
      <c r="CJ19" s="1">
        <f t="shared" si="27"/>
        <v>947075</v>
      </c>
      <c r="CK19" s="2">
        <f t="shared" si="28"/>
        <v>0</v>
      </c>
      <c r="CL19" s="2">
        <v>1742382.3677000001</v>
      </c>
      <c r="CM19" s="22">
        <v>43343.658000000003</v>
      </c>
      <c r="CN19" s="22">
        <v>38527</v>
      </c>
      <c r="CO19" s="2">
        <f t="shared" si="29"/>
        <v>152181.76000000001</v>
      </c>
      <c r="CP19" s="2">
        <f t="shared" si="30"/>
        <v>1595017.2657000001</v>
      </c>
      <c r="CQ19" s="2">
        <v>252</v>
      </c>
      <c r="CR19" s="2">
        <f t="shared" si="31"/>
        <v>6329.4335940476194</v>
      </c>
      <c r="CS19" s="2">
        <f t="shared" si="32"/>
        <v>6340.1936311575009</v>
      </c>
      <c r="CT19" s="2">
        <f t="shared" si="33"/>
        <v>1363141.6306988627</v>
      </c>
      <c r="CU19" s="2">
        <f t="shared" si="34"/>
        <v>38527</v>
      </c>
      <c r="CV19" s="2">
        <f t="shared" si="35"/>
        <v>152181.76000000001</v>
      </c>
      <c r="CW19" s="2">
        <f t="shared" si="36"/>
        <v>1553850.3906988627</v>
      </c>
      <c r="CX19" s="1">
        <f t="shared" si="37"/>
        <v>2540.9451701268845</v>
      </c>
      <c r="CY19" s="1">
        <f t="shared" si="38"/>
        <v>1553850.3906988625</v>
      </c>
      <c r="CZ19" s="2">
        <v>1</v>
      </c>
      <c r="DA19" s="2">
        <f t="shared" si="39"/>
        <v>2584.2999999999997</v>
      </c>
      <c r="DB19" s="2">
        <f t="shared" si="40"/>
        <v>4930.6666666666733</v>
      </c>
      <c r="DC19" s="2">
        <f t="shared" si="41"/>
        <v>726.69999999999993</v>
      </c>
      <c r="DD19" s="2">
        <f t="shared" si="42"/>
        <v>649.29999999999995</v>
      </c>
      <c r="DE19" s="2">
        <f t="shared" si="43"/>
        <v>1892.0000000000002</v>
      </c>
      <c r="DF19" s="2">
        <f t="shared" si="44"/>
        <v>5611.5</v>
      </c>
      <c r="DG19" s="1">
        <f t="shared" si="45"/>
        <v>16394.466666666674</v>
      </c>
      <c r="DH19" s="1">
        <f t="shared" si="46"/>
        <v>484765.15552873595</v>
      </c>
      <c r="DI19" s="9">
        <v>1</v>
      </c>
      <c r="DJ19" s="23">
        <v>5.36</v>
      </c>
      <c r="DK19" s="24">
        <v>0.13</v>
      </c>
      <c r="DL19" s="24">
        <v>0.15</v>
      </c>
      <c r="DM19" s="24">
        <v>0.45</v>
      </c>
      <c r="DN19" s="24">
        <v>0</v>
      </c>
      <c r="DO19" s="25">
        <v>6.09</v>
      </c>
      <c r="DP19" s="9">
        <v>7642</v>
      </c>
      <c r="DQ19" s="9">
        <v>14355</v>
      </c>
      <c r="DR19" s="9">
        <v>0</v>
      </c>
      <c r="DS19" s="9" t="str">
        <f t="shared" si="47"/>
        <v>7894238</v>
      </c>
      <c r="DT19" s="9">
        <f t="shared" si="48"/>
        <v>47279.781640000008</v>
      </c>
      <c r="DU19" s="26"/>
      <c r="DV19" s="9"/>
      <c r="DW19" s="9"/>
      <c r="DX19" s="9">
        <v>1551309.4455287356</v>
      </c>
      <c r="DY19" s="9">
        <v>484765.15552873584</v>
      </c>
      <c r="DZ19" s="30">
        <v>1553850.3906988627</v>
      </c>
      <c r="EA19" s="21">
        <v>1553850.3906988627</v>
      </c>
      <c r="EB19" s="9">
        <v>16394.466666666674</v>
      </c>
      <c r="EC19" s="9">
        <v>1537455.9240321959</v>
      </c>
      <c r="ED19" s="9">
        <v>5.36</v>
      </c>
      <c r="EE19" s="9">
        <v>0.13</v>
      </c>
      <c r="EF19" s="9">
        <v>0.15</v>
      </c>
      <c r="EG19" s="9">
        <v>0.45</v>
      </c>
      <c r="EH19" s="9">
        <v>0</v>
      </c>
      <c r="EI19" s="9">
        <v>6.09</v>
      </c>
      <c r="EJ19" s="9">
        <v>0</v>
      </c>
      <c r="EK19" s="9">
        <v>47279.781640000008</v>
      </c>
      <c r="EL19" s="9">
        <v>14355</v>
      </c>
      <c r="EM19" s="9">
        <v>7642</v>
      </c>
      <c r="EN19" s="9">
        <v>1603520.1274700786</v>
      </c>
      <c r="EO19" s="9">
        <v>1605906.1514171651</v>
      </c>
      <c r="EP19" s="9">
        <f t="shared" si="63"/>
        <v>0</v>
      </c>
      <c r="EQ19" s="9">
        <f t="shared" si="49"/>
        <v>0</v>
      </c>
      <c r="ER19" s="9">
        <f t="shared" si="50"/>
        <v>0</v>
      </c>
      <c r="ES19" s="9">
        <f t="shared" si="51"/>
        <v>0</v>
      </c>
      <c r="ET19" s="9">
        <f t="shared" si="52"/>
        <v>0</v>
      </c>
      <c r="EU19" s="9">
        <f t="shared" si="53"/>
        <v>0</v>
      </c>
      <c r="EV19" s="9">
        <f t="shared" ref="EV19:FA19" si="119">ROUND(ED19-DJ19,0)</f>
        <v>0</v>
      </c>
      <c r="EW19" s="9">
        <f t="shared" si="119"/>
        <v>0</v>
      </c>
      <c r="EX19" s="9">
        <f t="shared" si="119"/>
        <v>0</v>
      </c>
      <c r="EY19" s="9">
        <f t="shared" si="119"/>
        <v>0</v>
      </c>
      <c r="EZ19" s="9">
        <f t="shared" si="119"/>
        <v>0</v>
      </c>
      <c r="FA19" s="9">
        <f t="shared" si="119"/>
        <v>0</v>
      </c>
      <c r="FB19" s="9">
        <f t="shared" si="55"/>
        <v>0</v>
      </c>
      <c r="FC19" s="9">
        <f t="shared" si="56"/>
        <v>0</v>
      </c>
      <c r="FD19" s="9">
        <f t="shared" si="57"/>
        <v>0</v>
      </c>
      <c r="FE19" s="9">
        <f t="shared" si="58"/>
        <v>0</v>
      </c>
      <c r="FF19" s="9"/>
      <c r="FG19" s="9"/>
      <c r="FH19" s="9"/>
      <c r="FI19" s="27"/>
      <c r="FJ19" s="21">
        <v>4290</v>
      </c>
      <c r="FK19" s="28">
        <v>4875</v>
      </c>
      <c r="FL19" s="28">
        <v>5400</v>
      </c>
      <c r="FM19" s="29">
        <v>1140</v>
      </c>
      <c r="FN19" s="28">
        <v>0</v>
      </c>
      <c r="FO19" s="9"/>
    </row>
    <row r="20" spans="1:171">
      <c r="A20" s="2" t="s">
        <v>204</v>
      </c>
      <c r="B20" s="2">
        <v>130302</v>
      </c>
      <c r="C20" s="2">
        <v>2042533</v>
      </c>
      <c r="D20" s="2" t="s">
        <v>205</v>
      </c>
      <c r="E20" s="2">
        <v>412</v>
      </c>
      <c r="F20" s="2">
        <v>412</v>
      </c>
      <c r="G20" s="2">
        <v>60</v>
      </c>
      <c r="H20" s="2">
        <v>352</v>
      </c>
      <c r="I20" s="2">
        <v>0</v>
      </c>
      <c r="J20" s="2">
        <v>0</v>
      </c>
      <c r="K20" s="2">
        <v>0</v>
      </c>
      <c r="L20" s="2">
        <v>0</v>
      </c>
      <c r="M20" s="1">
        <f t="shared" si="5"/>
        <v>1902204</v>
      </c>
      <c r="N20" s="2">
        <v>0.223300970873786</v>
      </c>
      <c r="O20" s="2">
        <v>0</v>
      </c>
      <c r="P20" s="2">
        <f t="shared" si="6"/>
        <v>91.999999999999829</v>
      </c>
      <c r="Q20" s="2">
        <f t="shared" si="7"/>
        <v>0</v>
      </c>
      <c r="R20" s="1">
        <f t="shared" si="8"/>
        <v>52502.559999999896</v>
      </c>
      <c r="S20" s="2">
        <v>0.223300970873786</v>
      </c>
      <c r="T20" s="2">
        <v>0</v>
      </c>
      <c r="U20" s="2">
        <f t="shared" si="9"/>
        <v>91.999999999999829</v>
      </c>
      <c r="V20" s="2">
        <f t="shared" si="10"/>
        <v>0</v>
      </c>
      <c r="W20" s="1">
        <f t="shared" si="11"/>
        <v>77113.479999999865</v>
      </c>
      <c r="X20" s="2">
        <v>0.53640776699029102</v>
      </c>
      <c r="Y20" s="2">
        <v>7.5242718446601894E-2</v>
      </c>
      <c r="Z20" s="2">
        <v>0.13834951456310701</v>
      </c>
      <c r="AA20" s="2">
        <v>3.8834951456310697E-2</v>
      </c>
      <c r="AB20" s="2">
        <v>2.4271844660194199E-2</v>
      </c>
      <c r="AC20" s="2">
        <v>7.2815533980582501E-3</v>
      </c>
      <c r="AD20" s="2">
        <f t="shared" ref="AD20:AI20" si="120">$F20*X20</f>
        <v>220.99999999999991</v>
      </c>
      <c r="AE20" s="2">
        <f t="shared" si="120"/>
        <v>30.999999999999982</v>
      </c>
      <c r="AF20" s="2">
        <f t="shared" si="120"/>
        <v>57.000000000000092</v>
      </c>
      <c r="AG20" s="2">
        <f t="shared" si="120"/>
        <v>16.000000000000007</v>
      </c>
      <c r="AH20" s="2">
        <f t="shared" si="120"/>
        <v>10.000000000000011</v>
      </c>
      <c r="AI20" s="2">
        <f t="shared" si="120"/>
        <v>2.9999999999999991</v>
      </c>
      <c r="AJ20" s="1">
        <f t="shared" ref="AJ20:AO20" si="121">AD20*AJ$3</f>
        <v>60432.449999999975</v>
      </c>
      <c r="AK20" s="1">
        <f t="shared" si="121"/>
        <v>10319.899999999994</v>
      </c>
      <c r="AL20" s="1">
        <f t="shared" si="121"/>
        <v>29817.840000000047</v>
      </c>
      <c r="AM20" s="1">
        <f t="shared" si="121"/>
        <v>9130.8800000000028</v>
      </c>
      <c r="AN20" s="1">
        <f t="shared" si="121"/>
        <v>6063.5000000000064</v>
      </c>
      <c r="AO20" s="1">
        <f t="shared" si="121"/>
        <v>2389.7399999999993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f t="shared" ref="AV20:BA20" si="122">$I20*AP20</f>
        <v>0</v>
      </c>
      <c r="AW20" s="2">
        <f t="shared" si="122"/>
        <v>0</v>
      </c>
      <c r="AX20" s="2">
        <f t="shared" si="122"/>
        <v>0</v>
      </c>
      <c r="AY20" s="2">
        <f t="shared" si="122"/>
        <v>0</v>
      </c>
      <c r="AZ20" s="2">
        <f t="shared" si="122"/>
        <v>0</v>
      </c>
      <c r="BA20" s="2">
        <f t="shared" si="122"/>
        <v>0</v>
      </c>
      <c r="BB20" s="1">
        <f t="shared" ref="BB20:BG20" si="123">AV20*BB$4</f>
        <v>0</v>
      </c>
      <c r="BC20" s="1">
        <f t="shared" si="123"/>
        <v>0</v>
      </c>
      <c r="BD20" s="1">
        <f t="shared" si="123"/>
        <v>0</v>
      </c>
      <c r="BE20" s="1">
        <f t="shared" si="123"/>
        <v>0</v>
      </c>
      <c r="BF20" s="1">
        <f t="shared" si="123"/>
        <v>0</v>
      </c>
      <c r="BG20" s="1">
        <f t="shared" si="123"/>
        <v>0</v>
      </c>
      <c r="BH20" s="1">
        <f t="shared" si="16"/>
        <v>118154.31000000004</v>
      </c>
      <c r="BI20" s="2">
        <v>0.116809116809117</v>
      </c>
      <c r="BJ20" s="2">
        <v>0</v>
      </c>
      <c r="BK20" s="2">
        <f t="shared" si="17"/>
        <v>48.125356125356205</v>
      </c>
      <c r="BL20" s="2">
        <f t="shared" si="18"/>
        <v>0</v>
      </c>
      <c r="BM20" s="1">
        <f t="shared" si="19"/>
        <v>33185.801823361879</v>
      </c>
      <c r="BN20" s="2">
        <v>0.31168831168831185</v>
      </c>
      <c r="BO20" s="2">
        <f t="shared" si="20"/>
        <v>128.41558441558448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f t="shared" si="21"/>
        <v>0</v>
      </c>
      <c r="CA20" s="2">
        <f t="shared" si="22"/>
        <v>0</v>
      </c>
      <c r="CB20" s="1">
        <f t="shared" si="23"/>
        <v>176340.28051948061</v>
      </c>
      <c r="CC20" s="2">
        <v>7.0388349514563103E-2</v>
      </c>
      <c r="CD20" s="2">
        <v>0</v>
      </c>
      <c r="CE20" s="2">
        <f t="shared" si="24"/>
        <v>4.2799999999999994</v>
      </c>
      <c r="CF20" s="2">
        <f t="shared" si="25"/>
        <v>0</v>
      </c>
      <c r="CG20" s="1">
        <f t="shared" si="26"/>
        <v>4808.7083999999995</v>
      </c>
      <c r="CH20" s="2">
        <v>152181.76000000001</v>
      </c>
      <c r="CI20" s="2">
        <v>43411</v>
      </c>
      <c r="CJ20" s="1">
        <f t="shared" si="27"/>
        <v>1814860</v>
      </c>
      <c r="CK20" s="2">
        <f t="shared" si="28"/>
        <v>0</v>
      </c>
      <c r="CL20" s="2">
        <v>2552887.3259999999</v>
      </c>
      <c r="CM20" s="22">
        <v>60371.989600000001</v>
      </c>
      <c r="CN20" s="22">
        <v>43411</v>
      </c>
      <c r="CO20" s="2">
        <f t="shared" si="29"/>
        <v>152181.76000000001</v>
      </c>
      <c r="CP20" s="2">
        <f t="shared" si="30"/>
        <v>2417666.5555999996</v>
      </c>
      <c r="CQ20" s="2">
        <v>407</v>
      </c>
      <c r="CR20" s="2">
        <f t="shared" si="31"/>
        <v>5940.2126673218663</v>
      </c>
      <c r="CS20" s="2">
        <f t="shared" si="32"/>
        <v>5950.3110288563139</v>
      </c>
      <c r="CT20" s="2">
        <f t="shared" si="33"/>
        <v>2451528.1438888013</v>
      </c>
      <c r="CU20" s="2">
        <f t="shared" si="34"/>
        <v>43411</v>
      </c>
      <c r="CV20" s="2">
        <f t="shared" si="35"/>
        <v>152181.76000000001</v>
      </c>
      <c r="CW20" s="2">
        <f t="shared" si="36"/>
        <v>2647120.9038888011</v>
      </c>
      <c r="CX20" s="1">
        <f t="shared" si="37"/>
        <v>87219.003145958763</v>
      </c>
      <c r="CY20" s="1">
        <f t="shared" si="38"/>
        <v>2647120.9038888006</v>
      </c>
      <c r="CZ20" s="2">
        <v>1</v>
      </c>
      <c r="DA20" s="2">
        <f t="shared" si="39"/>
        <v>4952.24</v>
      </c>
      <c r="DB20" s="2">
        <f t="shared" si="40"/>
        <v>4138.7806267806336</v>
      </c>
      <c r="DC20" s="2">
        <f t="shared" si="41"/>
        <v>1392.56</v>
      </c>
      <c r="DD20" s="2">
        <f t="shared" si="42"/>
        <v>1244.24</v>
      </c>
      <c r="DE20" s="2">
        <f t="shared" si="43"/>
        <v>3625.6000000000004</v>
      </c>
      <c r="DF20" s="2">
        <f t="shared" si="44"/>
        <v>10753.2</v>
      </c>
      <c r="DG20" s="1">
        <f t="shared" si="45"/>
        <v>26106.620626780634</v>
      </c>
      <c r="DH20" s="1">
        <f t="shared" si="46"/>
        <v>732977.26074284245</v>
      </c>
      <c r="DI20" s="9">
        <v>1</v>
      </c>
      <c r="DJ20" s="23">
        <v>5.36</v>
      </c>
      <c r="DK20" s="24">
        <v>0.22</v>
      </c>
      <c r="DL20" s="24">
        <v>0.11</v>
      </c>
      <c r="DM20" s="24">
        <v>0.45</v>
      </c>
      <c r="DN20" s="24">
        <v>0</v>
      </c>
      <c r="DO20" s="25">
        <v>6.14</v>
      </c>
      <c r="DP20" s="9">
        <v>8117</v>
      </c>
      <c r="DQ20" s="9">
        <v>13485</v>
      </c>
      <c r="DR20" s="9">
        <v>0</v>
      </c>
      <c r="DS20" s="9" t="str">
        <f t="shared" si="47"/>
        <v>6285253</v>
      </c>
      <c r="DT20" s="9">
        <f t="shared" si="48"/>
        <v>75027.985519999987</v>
      </c>
      <c r="DU20" s="26"/>
      <c r="DV20" s="9"/>
      <c r="DW20" s="9"/>
      <c r="DX20" s="9">
        <v>2559901.9007428419</v>
      </c>
      <c r="DY20" s="9">
        <v>732977.26074284234</v>
      </c>
      <c r="DZ20" s="30">
        <v>2647120.9038888011</v>
      </c>
      <c r="EA20" s="21">
        <v>2647120.9038888011</v>
      </c>
      <c r="EB20" s="9">
        <v>26106.620626780634</v>
      </c>
      <c r="EC20" s="9">
        <v>2621014.2832620204</v>
      </c>
      <c r="ED20" s="9">
        <v>5.36</v>
      </c>
      <c r="EE20" s="9">
        <v>0.22</v>
      </c>
      <c r="EF20" s="9">
        <v>0.11</v>
      </c>
      <c r="EG20" s="9">
        <v>0.45</v>
      </c>
      <c r="EH20" s="9">
        <v>0</v>
      </c>
      <c r="EI20" s="9">
        <v>6.14</v>
      </c>
      <c r="EJ20" s="9">
        <v>0</v>
      </c>
      <c r="EK20" s="9">
        <v>75027.985519999987</v>
      </c>
      <c r="EL20" s="9">
        <v>13485</v>
      </c>
      <c r="EM20" s="9">
        <v>8117</v>
      </c>
      <c r="EN20" s="9">
        <v>2726436.2735590362</v>
      </c>
      <c r="EO20" s="9">
        <v>2730722.9521544739</v>
      </c>
      <c r="EP20" s="9">
        <f t="shared" si="63"/>
        <v>0</v>
      </c>
      <c r="EQ20" s="9">
        <f t="shared" si="49"/>
        <v>0</v>
      </c>
      <c r="ER20" s="9">
        <f t="shared" si="50"/>
        <v>0</v>
      </c>
      <c r="ES20" s="9">
        <f t="shared" si="51"/>
        <v>0</v>
      </c>
      <c r="ET20" s="9">
        <f t="shared" si="52"/>
        <v>0</v>
      </c>
      <c r="EU20" s="9">
        <f t="shared" si="53"/>
        <v>0</v>
      </c>
      <c r="EV20" s="9">
        <f t="shared" ref="EV20:FA20" si="124">ROUND(ED20-DJ20,0)</f>
        <v>0</v>
      </c>
      <c r="EW20" s="9">
        <f t="shared" si="124"/>
        <v>0</v>
      </c>
      <c r="EX20" s="9">
        <f t="shared" si="124"/>
        <v>0</v>
      </c>
      <c r="EY20" s="9">
        <f t="shared" si="124"/>
        <v>0</v>
      </c>
      <c r="EZ20" s="9">
        <f t="shared" si="124"/>
        <v>0</v>
      </c>
      <c r="FA20" s="9">
        <f t="shared" si="124"/>
        <v>0</v>
      </c>
      <c r="FB20" s="9">
        <f t="shared" si="55"/>
        <v>0</v>
      </c>
      <c r="FC20" s="9">
        <f t="shared" si="56"/>
        <v>0</v>
      </c>
      <c r="FD20" s="9">
        <f t="shared" si="57"/>
        <v>0</v>
      </c>
      <c r="FE20" s="9">
        <f t="shared" si="58"/>
        <v>0</v>
      </c>
      <c r="FF20" s="9"/>
      <c r="FG20" s="9"/>
      <c r="FH20" s="9"/>
      <c r="FI20" s="27"/>
      <c r="FJ20" s="21">
        <v>17160</v>
      </c>
      <c r="FK20" s="28">
        <v>12285</v>
      </c>
      <c r="FL20" s="28">
        <v>14040</v>
      </c>
      <c r="FM20" s="29">
        <v>4560</v>
      </c>
      <c r="FN20" s="28">
        <v>1</v>
      </c>
      <c r="FO20" s="9"/>
    </row>
    <row r="21" spans="1:171">
      <c r="A21" s="2" t="s">
        <v>206</v>
      </c>
      <c r="B21" s="2">
        <v>130303</v>
      </c>
      <c r="C21" s="2">
        <v>2042534</v>
      </c>
      <c r="D21" s="2" t="s">
        <v>207</v>
      </c>
      <c r="E21" s="2">
        <v>495</v>
      </c>
      <c r="F21" s="2">
        <v>495</v>
      </c>
      <c r="G21" s="2">
        <v>60</v>
      </c>
      <c r="H21" s="2">
        <v>435</v>
      </c>
      <c r="I21" s="2">
        <v>0</v>
      </c>
      <c r="J21" s="2">
        <v>0</v>
      </c>
      <c r="K21" s="2">
        <v>0</v>
      </c>
      <c r="L21" s="2">
        <v>0</v>
      </c>
      <c r="M21" s="1">
        <f t="shared" si="5"/>
        <v>2285415</v>
      </c>
      <c r="N21" s="2">
        <v>0.206060606060606</v>
      </c>
      <c r="O21" s="2">
        <v>0</v>
      </c>
      <c r="P21" s="2">
        <f t="shared" si="6"/>
        <v>101.99999999999997</v>
      </c>
      <c r="Q21" s="2">
        <f t="shared" si="7"/>
        <v>0</v>
      </c>
      <c r="R21" s="1">
        <f t="shared" si="8"/>
        <v>58209.359999999979</v>
      </c>
      <c r="S21" s="2">
        <v>0.226262626262626</v>
      </c>
      <c r="T21" s="2">
        <v>0</v>
      </c>
      <c r="U21" s="2">
        <f t="shared" si="9"/>
        <v>111.99999999999987</v>
      </c>
      <c r="V21" s="2">
        <f t="shared" si="10"/>
        <v>0</v>
      </c>
      <c r="W21" s="1">
        <f t="shared" si="11"/>
        <v>93877.279999999897</v>
      </c>
      <c r="X21" s="2">
        <v>0.35091277890466499</v>
      </c>
      <c r="Y21" s="2">
        <v>0.33062880324543598</v>
      </c>
      <c r="Z21" s="2">
        <v>0.18255578093306299</v>
      </c>
      <c r="AA21" s="2">
        <v>3.0425963488843799E-2</v>
      </c>
      <c r="AB21" s="2">
        <v>8.7221095334685597E-2</v>
      </c>
      <c r="AC21" s="2">
        <v>4.05679513184584E-3</v>
      </c>
      <c r="AD21" s="2">
        <f t="shared" ref="AD21:AI21" si="125">$F21*X21</f>
        <v>173.70182555780917</v>
      </c>
      <c r="AE21" s="2">
        <f t="shared" si="125"/>
        <v>163.66125760649081</v>
      </c>
      <c r="AF21" s="2">
        <f t="shared" si="125"/>
        <v>90.365111561866186</v>
      </c>
      <c r="AG21" s="2">
        <f t="shared" si="125"/>
        <v>15.06085192697768</v>
      </c>
      <c r="AH21" s="2">
        <f t="shared" si="125"/>
        <v>43.174442190669367</v>
      </c>
      <c r="AI21" s="2">
        <f t="shared" si="125"/>
        <v>2.0081135902636906</v>
      </c>
      <c r="AJ21" s="1">
        <f t="shared" ref="AJ21:AO21" si="126">AD21*AJ$3</f>
        <v>47498.764198782919</v>
      </c>
      <c r="AK21" s="1">
        <f t="shared" si="126"/>
        <v>54482.832657200786</v>
      </c>
      <c r="AL21" s="1">
        <f t="shared" si="126"/>
        <v>47271.797160243441</v>
      </c>
      <c r="AM21" s="1">
        <f t="shared" si="126"/>
        <v>8594.9269776876208</v>
      </c>
      <c r="AN21" s="1">
        <f t="shared" si="126"/>
        <v>26178.823022312372</v>
      </c>
      <c r="AO21" s="1">
        <f t="shared" si="126"/>
        <v>1599.6231237322509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f t="shared" ref="AV21:BA21" si="127">$I21*AP21</f>
        <v>0</v>
      </c>
      <c r="AW21" s="2">
        <f t="shared" si="127"/>
        <v>0</v>
      </c>
      <c r="AX21" s="2">
        <f t="shared" si="127"/>
        <v>0</v>
      </c>
      <c r="AY21" s="2">
        <f t="shared" si="127"/>
        <v>0</v>
      </c>
      <c r="AZ21" s="2">
        <f t="shared" si="127"/>
        <v>0</v>
      </c>
      <c r="BA21" s="2">
        <f t="shared" si="127"/>
        <v>0</v>
      </c>
      <c r="BB21" s="1">
        <f t="shared" ref="BB21:BG21" si="128">AV21*BB$4</f>
        <v>0</v>
      </c>
      <c r="BC21" s="1">
        <f t="shared" si="128"/>
        <v>0</v>
      </c>
      <c r="BD21" s="1">
        <f t="shared" si="128"/>
        <v>0</v>
      </c>
      <c r="BE21" s="1">
        <f t="shared" si="128"/>
        <v>0</v>
      </c>
      <c r="BF21" s="1">
        <f t="shared" si="128"/>
        <v>0</v>
      </c>
      <c r="BG21" s="1">
        <f t="shared" si="128"/>
        <v>0</v>
      </c>
      <c r="BH21" s="1">
        <f t="shared" si="16"/>
        <v>185626.76713995941</v>
      </c>
      <c r="BI21" s="2">
        <v>0.12873563218390799</v>
      </c>
      <c r="BJ21" s="2">
        <v>0</v>
      </c>
      <c r="BK21" s="2">
        <f t="shared" si="17"/>
        <v>63.724137931034456</v>
      </c>
      <c r="BL21" s="2">
        <f t="shared" si="18"/>
        <v>0</v>
      </c>
      <c r="BM21" s="1">
        <f t="shared" si="19"/>
        <v>43942.253793103431</v>
      </c>
      <c r="BN21" s="2">
        <v>0.14089635854341709</v>
      </c>
      <c r="BO21" s="2">
        <f t="shared" si="20"/>
        <v>69.743697478991464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f t="shared" si="21"/>
        <v>0</v>
      </c>
      <c r="CA21" s="2">
        <f t="shared" si="22"/>
        <v>0</v>
      </c>
      <c r="CB21" s="1">
        <f t="shared" si="23"/>
        <v>95772.045378151088</v>
      </c>
      <c r="CC21" s="2">
        <v>4.2424242424242399E-2</v>
      </c>
      <c r="CD21" s="2">
        <v>0</v>
      </c>
      <c r="CE21" s="2">
        <f t="shared" si="24"/>
        <v>0</v>
      </c>
      <c r="CF21" s="2">
        <f t="shared" si="25"/>
        <v>0</v>
      </c>
      <c r="CG21" s="1">
        <f t="shared" si="26"/>
        <v>0</v>
      </c>
      <c r="CH21" s="2">
        <v>152181.76000000001</v>
      </c>
      <c r="CI21" s="2">
        <v>43954</v>
      </c>
      <c r="CJ21" s="1">
        <f t="shared" si="27"/>
        <v>2180475</v>
      </c>
      <c r="CK21" s="2">
        <f t="shared" si="28"/>
        <v>0</v>
      </c>
      <c r="CL21" s="2">
        <v>3157304.5093</v>
      </c>
      <c r="CM21" s="22">
        <v>76457.268400000001</v>
      </c>
      <c r="CN21" s="22">
        <v>43954</v>
      </c>
      <c r="CO21" s="2">
        <f t="shared" si="29"/>
        <v>152181.76000000001</v>
      </c>
      <c r="CP21" s="2">
        <f t="shared" si="30"/>
        <v>3037626.0176999997</v>
      </c>
      <c r="CQ21" s="2">
        <v>517</v>
      </c>
      <c r="CR21" s="2">
        <f t="shared" si="31"/>
        <v>5875.4855274661504</v>
      </c>
      <c r="CS21" s="2">
        <f t="shared" si="32"/>
        <v>5885.4738528628432</v>
      </c>
      <c r="CT21" s="2">
        <f t="shared" si="33"/>
        <v>2913309.5571671072</v>
      </c>
      <c r="CU21" s="2">
        <f t="shared" si="34"/>
        <v>43954</v>
      </c>
      <c r="CV21" s="2">
        <f t="shared" si="35"/>
        <v>152181.76000000001</v>
      </c>
      <c r="CW21" s="2">
        <f t="shared" si="36"/>
        <v>3109445.317167107</v>
      </c>
      <c r="CX21" s="1">
        <f t="shared" si="37"/>
        <v>150466.85085589322</v>
      </c>
      <c r="CY21" s="1">
        <f t="shared" si="38"/>
        <v>3109445.317167107</v>
      </c>
      <c r="CZ21" s="2">
        <v>1</v>
      </c>
      <c r="DA21" s="2">
        <f t="shared" si="39"/>
        <v>5949.9</v>
      </c>
      <c r="DB21" s="2">
        <f t="shared" si="40"/>
        <v>5480.2758620689629</v>
      </c>
      <c r="DC21" s="2">
        <f t="shared" si="41"/>
        <v>1673.1</v>
      </c>
      <c r="DD21" s="2">
        <f t="shared" si="42"/>
        <v>1494.9</v>
      </c>
      <c r="DE21" s="2">
        <f t="shared" si="43"/>
        <v>4356</v>
      </c>
      <c r="DF21" s="2">
        <f t="shared" si="44"/>
        <v>12919.5</v>
      </c>
      <c r="DG21" s="1">
        <f t="shared" si="45"/>
        <v>31873.675862068962</v>
      </c>
      <c r="DH21" s="1">
        <f t="shared" si="46"/>
        <v>807738.89631121384</v>
      </c>
      <c r="DI21" s="9">
        <v>1</v>
      </c>
      <c r="DJ21" s="23">
        <v>5.36</v>
      </c>
      <c r="DK21" s="24">
        <v>0.16</v>
      </c>
      <c r="DL21" s="24">
        <v>0.14000000000000001</v>
      </c>
      <c r="DM21" s="24">
        <v>0.45</v>
      </c>
      <c r="DN21" s="24">
        <v>0</v>
      </c>
      <c r="DO21" s="25">
        <v>6.11</v>
      </c>
      <c r="DP21" s="9">
        <v>8496</v>
      </c>
      <c r="DQ21" s="9">
        <v>18705</v>
      </c>
      <c r="DR21" s="9">
        <v>0</v>
      </c>
      <c r="DS21" s="9" t="str">
        <f t="shared" si="47"/>
        <v>7156743</v>
      </c>
      <c r="DT21" s="9">
        <f t="shared" si="48"/>
        <v>89243.901959999974</v>
      </c>
      <c r="DU21" s="26"/>
      <c r="DV21" s="9"/>
      <c r="DW21" s="9"/>
      <c r="DX21" s="9">
        <v>2958978.4663112136</v>
      </c>
      <c r="DY21" s="9">
        <v>807738.89631121384</v>
      </c>
      <c r="DZ21" s="9">
        <v>3109445.317167107</v>
      </c>
      <c r="EA21" s="9">
        <v>3109445.317167107</v>
      </c>
      <c r="EB21" s="9">
        <v>31873.675862068962</v>
      </c>
      <c r="EC21" s="9">
        <v>3077571.6413050382</v>
      </c>
      <c r="ED21" s="9">
        <v>5.36</v>
      </c>
      <c r="EE21" s="9">
        <v>0.16</v>
      </c>
      <c r="EF21" s="9">
        <v>0.14000000000000001</v>
      </c>
      <c r="EG21" s="9">
        <v>0.45</v>
      </c>
      <c r="EH21" s="9">
        <v>0</v>
      </c>
      <c r="EI21" s="9">
        <v>6.11</v>
      </c>
      <c r="EJ21" s="9">
        <v>0</v>
      </c>
      <c r="EK21" s="9">
        <v>89243.901959999988</v>
      </c>
      <c r="EL21" s="9">
        <v>18705</v>
      </c>
      <c r="EM21" s="9">
        <v>8496</v>
      </c>
      <c r="EN21" s="9">
        <v>3203785.7987378631</v>
      </c>
      <c r="EO21" s="9">
        <v>3208883.0484261052</v>
      </c>
      <c r="EP21" s="9">
        <f t="shared" si="63"/>
        <v>0</v>
      </c>
      <c r="EQ21" s="9">
        <f t="shared" si="49"/>
        <v>0</v>
      </c>
      <c r="ER21" s="9">
        <f t="shared" si="50"/>
        <v>0</v>
      </c>
      <c r="ES21" s="9">
        <f t="shared" si="51"/>
        <v>0</v>
      </c>
      <c r="ET21" s="9">
        <f t="shared" si="52"/>
        <v>0</v>
      </c>
      <c r="EU21" s="9">
        <f t="shared" si="53"/>
        <v>0</v>
      </c>
      <c r="EV21" s="9">
        <f t="shared" ref="EV21:FA21" si="129">ROUND(ED21-DJ21,0)</f>
        <v>0</v>
      </c>
      <c r="EW21" s="9">
        <f t="shared" si="129"/>
        <v>0</v>
      </c>
      <c r="EX21" s="9">
        <f t="shared" si="129"/>
        <v>0</v>
      </c>
      <c r="EY21" s="9">
        <f t="shared" si="129"/>
        <v>0</v>
      </c>
      <c r="EZ21" s="9">
        <f t="shared" si="129"/>
        <v>0</v>
      </c>
      <c r="FA21" s="9">
        <f t="shared" si="129"/>
        <v>0</v>
      </c>
      <c r="FB21" s="9">
        <f t="shared" si="55"/>
        <v>0</v>
      </c>
      <c r="FC21" s="9">
        <f t="shared" si="56"/>
        <v>0</v>
      </c>
      <c r="FD21" s="9">
        <f t="shared" si="57"/>
        <v>0</v>
      </c>
      <c r="FE21" s="9">
        <f t="shared" si="58"/>
        <v>0</v>
      </c>
      <c r="FF21" s="9"/>
      <c r="FG21" s="9"/>
      <c r="FH21" s="9"/>
      <c r="FI21" s="27"/>
      <c r="FJ21" s="21">
        <v>15795</v>
      </c>
      <c r="FK21" s="28">
        <v>11700</v>
      </c>
      <c r="FL21" s="28">
        <v>12420</v>
      </c>
      <c r="FM21" s="29">
        <v>3990</v>
      </c>
      <c r="FN21" s="28">
        <v>1</v>
      </c>
      <c r="FO21" s="9"/>
    </row>
    <row r="22" spans="1:171">
      <c r="A22" s="2" t="s">
        <v>208</v>
      </c>
      <c r="B22" s="2">
        <v>100240</v>
      </c>
      <c r="C22" s="2">
        <v>2042539</v>
      </c>
      <c r="D22" s="2" t="s">
        <v>209</v>
      </c>
      <c r="E22" s="2">
        <v>376</v>
      </c>
      <c r="F22" s="2">
        <v>376</v>
      </c>
      <c r="G22" s="2">
        <v>55</v>
      </c>
      <c r="H22" s="2">
        <v>321</v>
      </c>
      <c r="I22" s="2">
        <v>0</v>
      </c>
      <c r="J22" s="2">
        <v>0</v>
      </c>
      <c r="K22" s="2">
        <v>0</v>
      </c>
      <c r="L22" s="2">
        <v>1</v>
      </c>
      <c r="M22" s="1">
        <f t="shared" si="5"/>
        <v>1735992</v>
      </c>
      <c r="N22" s="2">
        <v>0.43617021276595702</v>
      </c>
      <c r="O22" s="2">
        <v>0</v>
      </c>
      <c r="P22" s="2">
        <f t="shared" si="6"/>
        <v>163.99999999999983</v>
      </c>
      <c r="Q22" s="2">
        <f t="shared" si="7"/>
        <v>0</v>
      </c>
      <c r="R22" s="1">
        <f t="shared" si="8"/>
        <v>93591.519999999888</v>
      </c>
      <c r="S22" s="2">
        <v>0.444148936170213</v>
      </c>
      <c r="T22" s="2">
        <v>0</v>
      </c>
      <c r="U22" s="2">
        <f t="shared" si="9"/>
        <v>167.00000000000009</v>
      </c>
      <c r="V22" s="2">
        <f t="shared" si="10"/>
        <v>0</v>
      </c>
      <c r="W22" s="1">
        <f t="shared" si="11"/>
        <v>139977.73000000007</v>
      </c>
      <c r="X22" s="2">
        <v>4.5212765957446797E-2</v>
      </c>
      <c r="Y22" s="2">
        <v>0.14095744680851099</v>
      </c>
      <c r="Z22" s="2">
        <v>0.47872340425531901</v>
      </c>
      <c r="AA22" s="2">
        <v>8.5106382978723402E-2</v>
      </c>
      <c r="AB22" s="2">
        <v>0.22340425531914901</v>
      </c>
      <c r="AC22" s="2">
        <v>5.31914893617021E-3</v>
      </c>
      <c r="AD22" s="2">
        <f t="shared" ref="AD22:AI22" si="130">$F22*X22</f>
        <v>16.999999999999996</v>
      </c>
      <c r="AE22" s="2">
        <f t="shared" si="130"/>
        <v>53.000000000000135</v>
      </c>
      <c r="AF22" s="2">
        <f t="shared" si="130"/>
        <v>179.99999999999994</v>
      </c>
      <c r="AG22" s="2">
        <f t="shared" si="130"/>
        <v>32</v>
      </c>
      <c r="AH22" s="2">
        <f t="shared" si="130"/>
        <v>84.000000000000028</v>
      </c>
      <c r="AI22" s="2">
        <f t="shared" si="130"/>
        <v>1.9999999999999989</v>
      </c>
      <c r="AJ22" s="1">
        <f t="shared" ref="AJ22:AO22" si="131">AD22*AJ$3</f>
        <v>4648.6499999999987</v>
      </c>
      <c r="AK22" s="1">
        <f t="shared" si="131"/>
        <v>17643.700000000044</v>
      </c>
      <c r="AL22" s="1">
        <f t="shared" si="131"/>
        <v>94161.599999999977</v>
      </c>
      <c r="AM22" s="1">
        <f t="shared" si="131"/>
        <v>18261.759999999998</v>
      </c>
      <c r="AN22" s="1">
        <f t="shared" si="131"/>
        <v>50933.400000000016</v>
      </c>
      <c r="AO22" s="1">
        <f t="shared" si="131"/>
        <v>1593.1599999999992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f t="shared" ref="AV22:BA22" si="132">$I22*AP22</f>
        <v>0</v>
      </c>
      <c r="AW22" s="2">
        <f t="shared" si="132"/>
        <v>0</v>
      </c>
      <c r="AX22" s="2">
        <f t="shared" si="132"/>
        <v>0</v>
      </c>
      <c r="AY22" s="2">
        <f t="shared" si="132"/>
        <v>0</v>
      </c>
      <c r="AZ22" s="2">
        <f t="shared" si="132"/>
        <v>0</v>
      </c>
      <c r="BA22" s="2">
        <f t="shared" si="132"/>
        <v>0</v>
      </c>
      <c r="BB22" s="1">
        <f t="shared" ref="BB22:BG22" si="133">AV22*BB$4</f>
        <v>0</v>
      </c>
      <c r="BC22" s="1">
        <f t="shared" si="133"/>
        <v>0</v>
      </c>
      <c r="BD22" s="1">
        <f t="shared" si="133"/>
        <v>0</v>
      </c>
      <c r="BE22" s="1">
        <f t="shared" si="133"/>
        <v>0</v>
      </c>
      <c r="BF22" s="1">
        <f t="shared" si="133"/>
        <v>0</v>
      </c>
      <c r="BG22" s="1">
        <f t="shared" si="133"/>
        <v>0</v>
      </c>
      <c r="BH22" s="1">
        <f t="shared" si="16"/>
        <v>187242.27000000005</v>
      </c>
      <c r="BI22" s="2">
        <v>0.258566978193146</v>
      </c>
      <c r="BJ22" s="2">
        <v>0</v>
      </c>
      <c r="BK22" s="2">
        <f t="shared" si="17"/>
        <v>97.221183800622896</v>
      </c>
      <c r="BL22" s="2">
        <f t="shared" si="18"/>
        <v>0</v>
      </c>
      <c r="BM22" s="1">
        <f t="shared" si="19"/>
        <v>67040.811713395538</v>
      </c>
      <c r="BN22" s="2">
        <v>0.16938110749185667</v>
      </c>
      <c r="BO22" s="2">
        <f t="shared" si="20"/>
        <v>63.687296416938111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f t="shared" si="21"/>
        <v>0</v>
      </c>
      <c r="CA22" s="2">
        <f t="shared" si="22"/>
        <v>0</v>
      </c>
      <c r="CB22" s="1">
        <f t="shared" si="23"/>
        <v>87455.395439739412</v>
      </c>
      <c r="CC22" s="2">
        <v>7.1808510638297907E-2</v>
      </c>
      <c r="CD22" s="2">
        <v>0</v>
      </c>
      <c r="CE22" s="2">
        <f t="shared" si="24"/>
        <v>4.4400000000000137</v>
      </c>
      <c r="CF22" s="2">
        <f t="shared" si="25"/>
        <v>0</v>
      </c>
      <c r="CG22" s="1">
        <f t="shared" si="26"/>
        <v>4988.4732000000149</v>
      </c>
      <c r="CH22" s="2">
        <v>152181.76000000001</v>
      </c>
      <c r="CI22" s="2">
        <v>36296</v>
      </c>
      <c r="CJ22" s="1">
        <f t="shared" si="27"/>
        <v>1656280</v>
      </c>
      <c r="CK22" s="2">
        <f t="shared" si="28"/>
        <v>0</v>
      </c>
      <c r="CL22" s="2">
        <v>2553755.1727999998</v>
      </c>
      <c r="CM22" s="22">
        <v>67274.661999999997</v>
      </c>
      <c r="CN22" s="22">
        <v>36296</v>
      </c>
      <c r="CO22" s="2">
        <f t="shared" si="29"/>
        <v>152181.76000000001</v>
      </c>
      <c r="CP22" s="2">
        <f t="shared" si="30"/>
        <v>2432552.0747999996</v>
      </c>
      <c r="CQ22" s="2">
        <v>389</v>
      </c>
      <c r="CR22" s="2">
        <f t="shared" si="31"/>
        <v>6253.347235989716</v>
      </c>
      <c r="CS22" s="2">
        <f t="shared" si="32"/>
        <v>6263.9779262908987</v>
      </c>
      <c r="CT22" s="2">
        <f t="shared" si="33"/>
        <v>2355255.7002853779</v>
      </c>
      <c r="CU22" s="2">
        <f t="shared" si="34"/>
        <v>36296</v>
      </c>
      <c r="CV22" s="2">
        <f t="shared" si="35"/>
        <v>152181.76000000001</v>
      </c>
      <c r="CW22" s="2">
        <f t="shared" si="36"/>
        <v>2543733.4602853777</v>
      </c>
      <c r="CX22" s="1">
        <f t="shared" si="37"/>
        <v>38967.499932242732</v>
      </c>
      <c r="CY22" s="1">
        <f t="shared" si="38"/>
        <v>2543733.4602853777</v>
      </c>
      <c r="CZ22" s="2">
        <v>1</v>
      </c>
      <c r="DA22" s="2">
        <f t="shared" si="39"/>
        <v>4519.5199999999995</v>
      </c>
      <c r="DB22" s="2">
        <f t="shared" si="40"/>
        <v>8361.0218068535687</v>
      </c>
      <c r="DC22" s="2">
        <f t="shared" si="41"/>
        <v>1270.8799999999999</v>
      </c>
      <c r="DD22" s="2">
        <f t="shared" si="42"/>
        <v>1135.52</v>
      </c>
      <c r="DE22" s="2">
        <f t="shared" si="43"/>
        <v>3308.8</v>
      </c>
      <c r="DF22" s="2">
        <f t="shared" si="44"/>
        <v>9813.6</v>
      </c>
      <c r="DG22" s="1">
        <f t="shared" si="45"/>
        <v>28409.341806853568</v>
      </c>
      <c r="DH22" s="1">
        <f t="shared" si="46"/>
        <v>781823.32035313512</v>
      </c>
      <c r="DI22" s="9">
        <v>1</v>
      </c>
      <c r="DJ22" s="23">
        <v>5.36</v>
      </c>
      <c r="DK22" s="24">
        <v>0.14000000000000001</v>
      </c>
      <c r="DL22" s="24">
        <v>0.17</v>
      </c>
      <c r="DM22" s="24">
        <v>0.45</v>
      </c>
      <c r="DN22" s="24">
        <v>0</v>
      </c>
      <c r="DO22" s="25">
        <v>6.12</v>
      </c>
      <c r="DP22" s="9">
        <v>8037</v>
      </c>
      <c r="DQ22" s="9">
        <v>26100</v>
      </c>
      <c r="DR22" s="9">
        <v>0</v>
      </c>
      <c r="DS22" s="9" t="str">
        <f t="shared" si="47"/>
        <v>6569149</v>
      </c>
      <c r="DT22" s="9">
        <f t="shared" si="48"/>
        <v>79208.228239999997</v>
      </c>
      <c r="DU22" s="26"/>
      <c r="DV22" s="9"/>
      <c r="DW22" s="9"/>
      <c r="DX22" s="9">
        <v>2504765.9603531342</v>
      </c>
      <c r="DY22" s="9">
        <v>781823.32035313523</v>
      </c>
      <c r="DZ22" s="9">
        <v>2543733.4602853777</v>
      </c>
      <c r="EA22" s="9">
        <v>2543733.4602853777</v>
      </c>
      <c r="EB22" s="9">
        <v>28409.341806853568</v>
      </c>
      <c r="EC22" s="9">
        <v>2515324.118478524</v>
      </c>
      <c r="ED22" s="9">
        <v>5.36</v>
      </c>
      <c r="EE22" s="9">
        <v>0.14000000000000001</v>
      </c>
      <c r="EF22" s="9">
        <v>0.17</v>
      </c>
      <c r="EG22" s="9">
        <v>0.45</v>
      </c>
      <c r="EH22" s="9">
        <v>0</v>
      </c>
      <c r="EI22" s="9">
        <v>6.12</v>
      </c>
      <c r="EJ22" s="9">
        <v>0</v>
      </c>
      <c r="EK22" s="9">
        <v>79208.228239999997</v>
      </c>
      <c r="EL22" s="9">
        <v>26100</v>
      </c>
      <c r="EM22" s="9">
        <v>8037</v>
      </c>
      <c r="EN22" s="9">
        <v>2627072.5159341111</v>
      </c>
      <c r="EO22" s="9">
        <v>2631202.3716415865</v>
      </c>
      <c r="EP22" s="9">
        <f t="shared" si="63"/>
        <v>0</v>
      </c>
      <c r="EQ22" s="9">
        <f t="shared" si="49"/>
        <v>0</v>
      </c>
      <c r="ER22" s="9">
        <f t="shared" si="50"/>
        <v>0</v>
      </c>
      <c r="ES22" s="9">
        <f t="shared" si="51"/>
        <v>0</v>
      </c>
      <c r="ET22" s="9">
        <f t="shared" si="52"/>
        <v>0</v>
      </c>
      <c r="EU22" s="9">
        <f t="shared" si="53"/>
        <v>0</v>
      </c>
      <c r="EV22" s="9">
        <f t="shared" ref="EV22:FA22" si="134">ROUND(ED22-DJ22,0)</f>
        <v>0</v>
      </c>
      <c r="EW22" s="9">
        <f t="shared" si="134"/>
        <v>0</v>
      </c>
      <c r="EX22" s="9">
        <f t="shared" si="134"/>
        <v>0</v>
      </c>
      <c r="EY22" s="9">
        <f t="shared" si="134"/>
        <v>0</v>
      </c>
      <c r="EZ22" s="9">
        <f t="shared" si="134"/>
        <v>0</v>
      </c>
      <c r="FA22" s="9">
        <f t="shared" si="134"/>
        <v>0</v>
      </c>
      <c r="FB22" s="9">
        <f t="shared" si="55"/>
        <v>0</v>
      </c>
      <c r="FC22" s="9">
        <f t="shared" si="56"/>
        <v>0</v>
      </c>
      <c r="FD22" s="9">
        <f t="shared" si="57"/>
        <v>0</v>
      </c>
      <c r="FE22" s="9">
        <f t="shared" si="58"/>
        <v>0</v>
      </c>
      <c r="FF22" s="9"/>
      <c r="FG22" s="9"/>
      <c r="FH22" s="9"/>
      <c r="FI22" s="27"/>
      <c r="FJ22" s="21">
        <v>11310</v>
      </c>
      <c r="FK22" s="28">
        <v>7995</v>
      </c>
      <c r="FL22" s="28">
        <v>9180</v>
      </c>
      <c r="FM22" s="29">
        <v>2280</v>
      </c>
      <c r="FN22" s="28">
        <v>1</v>
      </c>
      <c r="FO22" s="9"/>
    </row>
    <row r="23" spans="1:171">
      <c r="A23" s="2" t="s">
        <v>210</v>
      </c>
      <c r="B23" s="2">
        <v>100241</v>
      </c>
      <c r="C23" s="2">
        <v>2042545</v>
      </c>
      <c r="D23" s="2" t="s">
        <v>211</v>
      </c>
      <c r="E23" s="2">
        <v>409</v>
      </c>
      <c r="F23" s="2">
        <v>409</v>
      </c>
      <c r="G23" s="2">
        <v>57</v>
      </c>
      <c r="H23" s="2">
        <v>352</v>
      </c>
      <c r="I23" s="2">
        <v>0</v>
      </c>
      <c r="J23" s="2">
        <v>0</v>
      </c>
      <c r="K23" s="2">
        <v>0</v>
      </c>
      <c r="L23" s="2">
        <v>0</v>
      </c>
      <c r="M23" s="1">
        <f t="shared" si="5"/>
        <v>1888353</v>
      </c>
      <c r="N23" s="2">
        <v>0.305623471882641</v>
      </c>
      <c r="O23" s="2">
        <v>0</v>
      </c>
      <c r="P23" s="2">
        <f t="shared" si="6"/>
        <v>125.00000000000017</v>
      </c>
      <c r="Q23" s="2">
        <f t="shared" si="7"/>
        <v>0</v>
      </c>
      <c r="R23" s="1">
        <f t="shared" si="8"/>
        <v>71335.000000000087</v>
      </c>
      <c r="S23" s="2">
        <v>0.31051344743276299</v>
      </c>
      <c r="T23" s="2">
        <v>0</v>
      </c>
      <c r="U23" s="2">
        <f t="shared" si="9"/>
        <v>127.00000000000006</v>
      </c>
      <c r="V23" s="2">
        <f t="shared" si="10"/>
        <v>0</v>
      </c>
      <c r="W23" s="1">
        <f t="shared" si="11"/>
        <v>106450.13000000005</v>
      </c>
      <c r="X23" s="2">
        <v>0.102689486552567</v>
      </c>
      <c r="Y23" s="2">
        <v>0.21515892420537899</v>
      </c>
      <c r="Z23" s="2">
        <v>0.15403422982885101</v>
      </c>
      <c r="AA23" s="2">
        <v>0.139364303178484</v>
      </c>
      <c r="AB23" s="2">
        <v>0.31051344743276299</v>
      </c>
      <c r="AC23" s="2">
        <v>0</v>
      </c>
      <c r="AD23" s="2">
        <f t="shared" ref="AD23:AI23" si="135">$F23*X23</f>
        <v>41.999999999999901</v>
      </c>
      <c r="AE23" s="2">
        <f t="shared" si="135"/>
        <v>88.000000000000014</v>
      </c>
      <c r="AF23" s="2">
        <f t="shared" si="135"/>
        <v>63.000000000000064</v>
      </c>
      <c r="AG23" s="2">
        <f t="shared" si="135"/>
        <v>56.999999999999957</v>
      </c>
      <c r="AH23" s="2">
        <f t="shared" si="135"/>
        <v>127.00000000000006</v>
      </c>
      <c r="AI23" s="2">
        <f t="shared" si="135"/>
        <v>0</v>
      </c>
      <c r="AJ23" s="1">
        <f t="shared" ref="AJ23:AO23" si="136">AD23*AJ$3</f>
        <v>11484.899999999972</v>
      </c>
      <c r="AK23" s="1">
        <f t="shared" si="136"/>
        <v>29295.200000000004</v>
      </c>
      <c r="AL23" s="1">
        <f t="shared" si="136"/>
        <v>32956.560000000034</v>
      </c>
      <c r="AM23" s="1">
        <f t="shared" si="136"/>
        <v>32528.759999999973</v>
      </c>
      <c r="AN23" s="1">
        <f t="shared" si="136"/>
        <v>77006.450000000041</v>
      </c>
      <c r="AO23" s="1">
        <f t="shared" si="136"/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f t="shared" ref="AV23:BA23" si="137">$I23*AP23</f>
        <v>0</v>
      </c>
      <c r="AW23" s="2">
        <f t="shared" si="137"/>
        <v>0</v>
      </c>
      <c r="AX23" s="2">
        <f t="shared" si="137"/>
        <v>0</v>
      </c>
      <c r="AY23" s="2">
        <f t="shared" si="137"/>
        <v>0</v>
      </c>
      <c r="AZ23" s="2">
        <f t="shared" si="137"/>
        <v>0</v>
      </c>
      <c r="BA23" s="2">
        <f t="shared" si="137"/>
        <v>0</v>
      </c>
      <c r="BB23" s="1">
        <f t="shared" ref="BB23:BG23" si="138">AV23*BB$4</f>
        <v>0</v>
      </c>
      <c r="BC23" s="1">
        <f t="shared" si="138"/>
        <v>0</v>
      </c>
      <c r="BD23" s="1">
        <f t="shared" si="138"/>
        <v>0</v>
      </c>
      <c r="BE23" s="1">
        <f t="shared" si="138"/>
        <v>0</v>
      </c>
      <c r="BF23" s="1">
        <f t="shared" si="138"/>
        <v>0</v>
      </c>
      <c r="BG23" s="1">
        <f t="shared" si="138"/>
        <v>0</v>
      </c>
      <c r="BH23" s="1">
        <f t="shared" si="16"/>
        <v>183271.87000000002</v>
      </c>
      <c r="BI23" s="2">
        <v>0.21590909090909099</v>
      </c>
      <c r="BJ23" s="2">
        <v>0</v>
      </c>
      <c r="BK23" s="2">
        <f t="shared" si="17"/>
        <v>88.306818181818215</v>
      </c>
      <c r="BL23" s="2">
        <f t="shared" si="18"/>
        <v>0</v>
      </c>
      <c r="BM23" s="1">
        <f t="shared" si="19"/>
        <v>60893.732613636392</v>
      </c>
      <c r="BN23" s="2">
        <v>0.17815614617940218</v>
      </c>
      <c r="BO23" s="2">
        <f t="shared" si="20"/>
        <v>72.865863787375488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f t="shared" si="21"/>
        <v>0</v>
      </c>
      <c r="CA23" s="2">
        <f t="shared" si="22"/>
        <v>0</v>
      </c>
      <c r="CB23" s="1">
        <f t="shared" si="23"/>
        <v>100059.40415282402</v>
      </c>
      <c r="CC23" s="2">
        <v>6.8459657701711502E-2</v>
      </c>
      <c r="CD23" s="2">
        <v>0</v>
      </c>
      <c r="CE23" s="2">
        <f t="shared" si="24"/>
        <v>3.4600000000000048</v>
      </c>
      <c r="CF23" s="2">
        <f t="shared" si="25"/>
        <v>0</v>
      </c>
      <c r="CG23" s="1">
        <f t="shared" si="26"/>
        <v>3887.4138000000053</v>
      </c>
      <c r="CH23" s="2">
        <v>152181.76000000001</v>
      </c>
      <c r="CI23" s="2">
        <v>44768</v>
      </c>
      <c r="CJ23" s="1">
        <f t="shared" si="27"/>
        <v>1801645</v>
      </c>
      <c r="CK23" s="2">
        <f t="shared" si="28"/>
        <v>0</v>
      </c>
      <c r="CL23" s="2">
        <v>2627517.7492999998</v>
      </c>
      <c r="CM23" s="22">
        <v>64706.474000000002</v>
      </c>
      <c r="CN23" s="22">
        <v>44768</v>
      </c>
      <c r="CO23" s="2">
        <f t="shared" si="29"/>
        <v>152181.76000000001</v>
      </c>
      <c r="CP23" s="2">
        <f t="shared" si="30"/>
        <v>2495274.4632999999</v>
      </c>
      <c r="CQ23" s="2">
        <v>414</v>
      </c>
      <c r="CR23" s="2">
        <f t="shared" si="31"/>
        <v>6027.2330031400961</v>
      </c>
      <c r="CS23" s="2">
        <f t="shared" si="32"/>
        <v>6037.479299245434</v>
      </c>
      <c r="CT23" s="2">
        <f t="shared" si="33"/>
        <v>2469329.0333913825</v>
      </c>
      <c r="CU23" s="2">
        <f t="shared" si="34"/>
        <v>44768</v>
      </c>
      <c r="CV23" s="2">
        <f t="shared" si="35"/>
        <v>152181.76000000001</v>
      </c>
      <c r="CW23" s="2">
        <f t="shared" si="36"/>
        <v>2666278.7933913823</v>
      </c>
      <c r="CX23" s="1">
        <f t="shared" si="37"/>
        <v>55078.482824921753</v>
      </c>
      <c r="CY23" s="1">
        <f t="shared" si="38"/>
        <v>2666278.7933913823</v>
      </c>
      <c r="CZ23" s="2">
        <v>1</v>
      </c>
      <c r="DA23" s="2">
        <f t="shared" si="39"/>
        <v>4916.1799999999994</v>
      </c>
      <c r="DB23" s="2">
        <f t="shared" si="40"/>
        <v>7594.3863636363667</v>
      </c>
      <c r="DC23" s="2">
        <f t="shared" si="41"/>
        <v>1382.4199999999998</v>
      </c>
      <c r="DD23" s="2">
        <f t="shared" si="42"/>
        <v>1235.18</v>
      </c>
      <c r="DE23" s="2">
        <f t="shared" si="43"/>
        <v>3599.2000000000003</v>
      </c>
      <c r="DF23" s="2">
        <f t="shared" si="44"/>
        <v>10674.900000000001</v>
      </c>
      <c r="DG23" s="1">
        <f t="shared" si="45"/>
        <v>29402.266363636369</v>
      </c>
      <c r="DH23" s="1">
        <f t="shared" si="46"/>
        <v>775582.56056646048</v>
      </c>
      <c r="DI23" s="9">
        <v>1</v>
      </c>
      <c r="DJ23" s="23">
        <v>5.36</v>
      </c>
      <c r="DK23" s="24">
        <v>0.22</v>
      </c>
      <c r="DL23" s="24">
        <v>0.16</v>
      </c>
      <c r="DM23" s="24">
        <v>0.45</v>
      </c>
      <c r="DN23" s="24">
        <v>0</v>
      </c>
      <c r="DO23" s="25">
        <v>6.19</v>
      </c>
      <c r="DP23" s="9">
        <v>8137</v>
      </c>
      <c r="DQ23" s="9">
        <v>19430</v>
      </c>
      <c r="DR23" s="9">
        <v>0</v>
      </c>
      <c r="DS23" s="9" t="str">
        <f t="shared" si="47"/>
        <v>8637886</v>
      </c>
      <c r="DT23" s="9">
        <f t="shared" si="48"/>
        <v>78931.209879999995</v>
      </c>
      <c r="DU23" s="26"/>
      <c r="DV23" s="9"/>
      <c r="DW23" s="9"/>
      <c r="DX23" s="9">
        <v>2611200.3105664607</v>
      </c>
      <c r="DY23" s="9">
        <v>775582.56056646048</v>
      </c>
      <c r="DZ23" s="9">
        <v>2666278.7933913823</v>
      </c>
      <c r="EA23" s="9">
        <v>2666278.7933913823</v>
      </c>
      <c r="EB23" s="9">
        <v>29402.266363636369</v>
      </c>
      <c r="EC23" s="9">
        <v>2636876.5270277457</v>
      </c>
      <c r="ED23" s="9">
        <v>5.36</v>
      </c>
      <c r="EE23" s="9">
        <v>0.22</v>
      </c>
      <c r="EF23" s="9">
        <v>0.16</v>
      </c>
      <c r="EG23" s="9">
        <v>0.45</v>
      </c>
      <c r="EH23" s="9">
        <v>0</v>
      </c>
      <c r="EI23" s="9">
        <v>6.19</v>
      </c>
      <c r="EJ23" s="9">
        <v>0</v>
      </c>
      <c r="EK23" s="9">
        <v>78931.209879999995</v>
      </c>
      <c r="EL23" s="9">
        <v>19430</v>
      </c>
      <c r="EM23" s="9">
        <v>8137</v>
      </c>
      <c r="EN23" s="9">
        <v>2749534.2844151836</v>
      </c>
      <c r="EO23" s="9">
        <v>2753857.9227290768</v>
      </c>
      <c r="EP23" s="9">
        <f t="shared" si="63"/>
        <v>0</v>
      </c>
      <c r="EQ23" s="9">
        <f t="shared" si="49"/>
        <v>0</v>
      </c>
      <c r="ER23" s="9">
        <f t="shared" si="50"/>
        <v>0</v>
      </c>
      <c r="ES23" s="9">
        <f t="shared" si="51"/>
        <v>0</v>
      </c>
      <c r="ET23" s="9">
        <f t="shared" si="52"/>
        <v>0</v>
      </c>
      <c r="EU23" s="9">
        <f t="shared" si="53"/>
        <v>0</v>
      </c>
      <c r="EV23" s="9">
        <f t="shared" ref="EV23:FA23" si="139">ROUND(ED23-DJ23,0)</f>
        <v>0</v>
      </c>
      <c r="EW23" s="9">
        <f t="shared" si="139"/>
        <v>0</v>
      </c>
      <c r="EX23" s="9">
        <f t="shared" si="139"/>
        <v>0</v>
      </c>
      <c r="EY23" s="9">
        <f t="shared" si="139"/>
        <v>0</v>
      </c>
      <c r="EZ23" s="9">
        <f t="shared" si="139"/>
        <v>0</v>
      </c>
      <c r="FA23" s="9">
        <f t="shared" si="139"/>
        <v>0</v>
      </c>
      <c r="FB23" s="9">
        <f t="shared" si="55"/>
        <v>0</v>
      </c>
      <c r="FC23" s="9">
        <f t="shared" si="56"/>
        <v>0</v>
      </c>
      <c r="FD23" s="9">
        <f t="shared" si="57"/>
        <v>0</v>
      </c>
      <c r="FE23" s="9">
        <f t="shared" si="58"/>
        <v>0</v>
      </c>
      <c r="FF23" s="9"/>
      <c r="FG23" s="9"/>
      <c r="FH23" s="9"/>
      <c r="FI23" s="27"/>
      <c r="FJ23" s="21">
        <v>11505</v>
      </c>
      <c r="FK23" s="28">
        <v>7605</v>
      </c>
      <c r="FL23" s="28">
        <v>10620</v>
      </c>
      <c r="FM23" s="29">
        <v>3990</v>
      </c>
      <c r="FN23" s="28">
        <v>0</v>
      </c>
      <c r="FO23" s="9"/>
    </row>
    <row r="24" spans="1:171">
      <c r="A24" s="2" t="s">
        <v>212</v>
      </c>
      <c r="B24" s="2">
        <v>100242</v>
      </c>
      <c r="C24" s="2">
        <v>2042564</v>
      </c>
      <c r="D24" s="2" t="s">
        <v>213</v>
      </c>
      <c r="E24" s="2">
        <v>340</v>
      </c>
      <c r="F24" s="2">
        <v>340</v>
      </c>
      <c r="G24" s="2">
        <v>57</v>
      </c>
      <c r="H24" s="2">
        <v>283</v>
      </c>
      <c r="I24" s="2">
        <v>0</v>
      </c>
      <c r="J24" s="2">
        <v>0</v>
      </c>
      <c r="K24" s="2">
        <v>0</v>
      </c>
      <c r="L24" s="2">
        <v>0</v>
      </c>
      <c r="M24" s="1">
        <f t="shared" si="5"/>
        <v>1569780</v>
      </c>
      <c r="N24" s="2">
        <v>0.45882352941176502</v>
      </c>
      <c r="O24" s="2">
        <v>0</v>
      </c>
      <c r="P24" s="2">
        <f t="shared" si="6"/>
        <v>156.00000000000011</v>
      </c>
      <c r="Q24" s="2">
        <f t="shared" si="7"/>
        <v>0</v>
      </c>
      <c r="R24" s="1">
        <f t="shared" si="8"/>
        <v>89026.08000000006</v>
      </c>
      <c r="S24" s="2">
        <v>0.47352941176470598</v>
      </c>
      <c r="T24" s="2">
        <v>0</v>
      </c>
      <c r="U24" s="2">
        <f t="shared" si="9"/>
        <v>161.00000000000003</v>
      </c>
      <c r="V24" s="2">
        <f t="shared" si="10"/>
        <v>0</v>
      </c>
      <c r="W24" s="1">
        <f t="shared" si="11"/>
        <v>134948.59000000003</v>
      </c>
      <c r="X24" s="2">
        <v>9.7058823529411795E-2</v>
      </c>
      <c r="Y24" s="2">
        <v>0.33529411764705902</v>
      </c>
      <c r="Z24" s="2">
        <v>0.20294117647058799</v>
      </c>
      <c r="AA24" s="2">
        <v>0.17058823529411801</v>
      </c>
      <c r="AB24" s="2">
        <v>0.155882352941176</v>
      </c>
      <c r="AC24" s="2">
        <v>1.1764705882352899E-2</v>
      </c>
      <c r="AD24" s="2">
        <f t="shared" ref="AD24:AI24" si="140">$F24*X24</f>
        <v>33.000000000000007</v>
      </c>
      <c r="AE24" s="2">
        <f t="shared" si="140"/>
        <v>114.00000000000007</v>
      </c>
      <c r="AF24" s="2">
        <f t="shared" si="140"/>
        <v>68.999999999999915</v>
      </c>
      <c r="AG24" s="2">
        <f t="shared" si="140"/>
        <v>58.000000000000121</v>
      </c>
      <c r="AH24" s="2">
        <f t="shared" si="140"/>
        <v>52.999999999999837</v>
      </c>
      <c r="AI24" s="2">
        <f t="shared" si="140"/>
        <v>3.9999999999999858</v>
      </c>
      <c r="AJ24" s="1">
        <f t="shared" ref="AJ24:AO24" si="141">AD24*AJ$3</f>
        <v>9023.8500000000022</v>
      </c>
      <c r="AK24" s="1">
        <f t="shared" si="141"/>
        <v>37950.60000000002</v>
      </c>
      <c r="AL24" s="1">
        <f t="shared" si="141"/>
        <v>36095.279999999955</v>
      </c>
      <c r="AM24" s="1">
        <f t="shared" si="141"/>
        <v>33099.440000000068</v>
      </c>
      <c r="AN24" s="1">
        <f t="shared" si="141"/>
        <v>32136.549999999901</v>
      </c>
      <c r="AO24" s="1">
        <f t="shared" si="141"/>
        <v>3186.3199999999888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f t="shared" ref="AV24:BA24" si="142">$I24*AP24</f>
        <v>0</v>
      </c>
      <c r="AW24" s="2">
        <f t="shared" si="142"/>
        <v>0</v>
      </c>
      <c r="AX24" s="2">
        <f t="shared" si="142"/>
        <v>0</v>
      </c>
      <c r="AY24" s="2">
        <f t="shared" si="142"/>
        <v>0</v>
      </c>
      <c r="AZ24" s="2">
        <f t="shared" si="142"/>
        <v>0</v>
      </c>
      <c r="BA24" s="2">
        <f t="shared" si="142"/>
        <v>0</v>
      </c>
      <c r="BB24" s="1">
        <f t="shared" ref="BB24:BG24" si="143">AV24*BB$4</f>
        <v>0</v>
      </c>
      <c r="BC24" s="1">
        <f t="shared" si="143"/>
        <v>0</v>
      </c>
      <c r="BD24" s="1">
        <f t="shared" si="143"/>
        <v>0</v>
      </c>
      <c r="BE24" s="1">
        <f t="shared" si="143"/>
        <v>0</v>
      </c>
      <c r="BF24" s="1">
        <f t="shared" si="143"/>
        <v>0</v>
      </c>
      <c r="BG24" s="1">
        <f t="shared" si="143"/>
        <v>0</v>
      </c>
      <c r="BH24" s="1">
        <f t="shared" si="16"/>
        <v>151492.03999999992</v>
      </c>
      <c r="BI24" s="2">
        <v>0.31802120141342799</v>
      </c>
      <c r="BJ24" s="2">
        <v>0</v>
      </c>
      <c r="BK24" s="2">
        <f t="shared" si="17"/>
        <v>108.12720848056551</v>
      </c>
      <c r="BL24" s="2">
        <f t="shared" si="18"/>
        <v>0</v>
      </c>
      <c r="BM24" s="1">
        <f t="shared" si="19"/>
        <v>74561.27915194357</v>
      </c>
      <c r="BN24" s="2">
        <v>0.22862041145623221</v>
      </c>
      <c r="BO24" s="2">
        <f t="shared" si="20"/>
        <v>77.730939895118951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f t="shared" si="21"/>
        <v>0</v>
      </c>
      <c r="CA24" s="2">
        <f t="shared" si="22"/>
        <v>0</v>
      </c>
      <c r="CB24" s="1">
        <f t="shared" si="23"/>
        <v>106740.12666397735</v>
      </c>
      <c r="CC24" s="2">
        <v>6.7647058823529393E-2</v>
      </c>
      <c r="CD24" s="2">
        <v>0</v>
      </c>
      <c r="CE24" s="2">
        <f t="shared" si="24"/>
        <v>2.5999999999999943</v>
      </c>
      <c r="CF24" s="2">
        <f t="shared" si="25"/>
        <v>0</v>
      </c>
      <c r="CG24" s="1">
        <f t="shared" si="26"/>
        <v>2921.1779999999935</v>
      </c>
      <c r="CH24" s="2">
        <v>152181.76000000001</v>
      </c>
      <c r="CI24" s="2">
        <v>34990</v>
      </c>
      <c r="CJ24" s="1">
        <f t="shared" si="27"/>
        <v>1497700</v>
      </c>
      <c r="CK24" s="2">
        <f t="shared" si="28"/>
        <v>0</v>
      </c>
      <c r="CL24" s="2">
        <v>2272470.9145999998</v>
      </c>
      <c r="CM24" s="22">
        <v>59618.7336</v>
      </c>
      <c r="CN24" s="22">
        <v>34990</v>
      </c>
      <c r="CO24" s="2">
        <f t="shared" si="29"/>
        <v>152181.76000000001</v>
      </c>
      <c r="CP24" s="2">
        <f t="shared" si="30"/>
        <v>2144917.8881999999</v>
      </c>
      <c r="CQ24" s="2">
        <v>347</v>
      </c>
      <c r="CR24" s="2">
        <f t="shared" si="31"/>
        <v>6181.3195625360231</v>
      </c>
      <c r="CS24" s="2">
        <f t="shared" si="32"/>
        <v>6191.8278057923344</v>
      </c>
      <c r="CT24" s="2">
        <f t="shared" si="33"/>
        <v>2105221.4539693939</v>
      </c>
      <c r="CU24" s="2">
        <f t="shared" si="34"/>
        <v>34990</v>
      </c>
      <c r="CV24" s="2">
        <f t="shared" si="35"/>
        <v>152181.76000000001</v>
      </c>
      <c r="CW24" s="2">
        <f t="shared" si="36"/>
        <v>2292393.2139693936</v>
      </c>
      <c r="CX24" s="1">
        <f t="shared" si="37"/>
        <v>0</v>
      </c>
      <c r="CY24" s="1">
        <f t="shared" si="38"/>
        <v>2316641.0538159208</v>
      </c>
      <c r="CZ24" s="2">
        <v>1</v>
      </c>
      <c r="DA24" s="2">
        <f t="shared" si="39"/>
        <v>4086.7999999999997</v>
      </c>
      <c r="DB24" s="2">
        <f t="shared" si="40"/>
        <v>9298.9399293286333</v>
      </c>
      <c r="DC24" s="2">
        <f t="shared" si="41"/>
        <v>1149.2</v>
      </c>
      <c r="DD24" s="2">
        <f t="shared" si="42"/>
        <v>1026.8</v>
      </c>
      <c r="DE24" s="2">
        <f t="shared" si="43"/>
        <v>2992.0000000000005</v>
      </c>
      <c r="DF24" s="2">
        <f t="shared" si="44"/>
        <v>8874</v>
      </c>
      <c r="DG24" s="1">
        <f t="shared" si="45"/>
        <v>27427.739929328633</v>
      </c>
      <c r="DH24" s="1">
        <f t="shared" si="46"/>
        <v>737525.81381592085</v>
      </c>
      <c r="DI24" s="9">
        <v>1</v>
      </c>
      <c r="DJ24" s="23">
        <v>5.36</v>
      </c>
      <c r="DK24" s="24">
        <v>0.36</v>
      </c>
      <c r="DL24" s="24">
        <v>0.16</v>
      </c>
      <c r="DM24" s="24">
        <v>0.45</v>
      </c>
      <c r="DN24" s="24">
        <v>0</v>
      </c>
      <c r="DO24" s="25">
        <v>6.33</v>
      </c>
      <c r="DP24" s="9">
        <v>7912</v>
      </c>
      <c r="DQ24" s="9">
        <v>21895</v>
      </c>
      <c r="DR24" s="9">
        <v>0</v>
      </c>
      <c r="DS24" s="9" t="str">
        <f t="shared" si="47"/>
        <v>6045326</v>
      </c>
      <c r="DT24" s="9">
        <f t="shared" si="48"/>
        <v>73373.008879999994</v>
      </c>
      <c r="DU24" s="26"/>
      <c r="DV24" s="9"/>
      <c r="DW24" s="9"/>
      <c r="DX24" s="9">
        <v>2316641.0538159208</v>
      </c>
      <c r="DY24" s="9">
        <v>737525.81381592085</v>
      </c>
      <c r="DZ24" s="9">
        <v>2292393.2139693936</v>
      </c>
      <c r="EA24" s="9">
        <v>2316641.0538159208</v>
      </c>
      <c r="EB24" s="9">
        <v>27427.739929328633</v>
      </c>
      <c r="EC24" s="9">
        <v>2289213.3138865922</v>
      </c>
      <c r="ED24" s="9">
        <v>5.36</v>
      </c>
      <c r="EE24" s="9">
        <v>0.36</v>
      </c>
      <c r="EF24" s="9">
        <v>0.16</v>
      </c>
      <c r="EG24" s="9">
        <v>0.45</v>
      </c>
      <c r="EH24" s="9">
        <v>0</v>
      </c>
      <c r="EI24" s="9">
        <v>6.33</v>
      </c>
      <c r="EJ24" s="9">
        <v>0</v>
      </c>
      <c r="EK24" s="9">
        <v>73373.008879999994</v>
      </c>
      <c r="EL24" s="9">
        <v>21895</v>
      </c>
      <c r="EM24" s="9">
        <v>7912</v>
      </c>
      <c r="EN24" s="9">
        <v>2393751.1333407443</v>
      </c>
      <c r="EO24" s="9">
        <v>2397486.5628978107</v>
      </c>
      <c r="EP24" s="9">
        <f t="shared" si="63"/>
        <v>0</v>
      </c>
      <c r="EQ24" s="9">
        <f t="shared" si="49"/>
        <v>0</v>
      </c>
      <c r="ER24" s="9">
        <f t="shared" si="50"/>
        <v>0</v>
      </c>
      <c r="ES24" s="9">
        <f t="shared" si="51"/>
        <v>0</v>
      </c>
      <c r="ET24" s="9">
        <f t="shared" si="52"/>
        <v>0</v>
      </c>
      <c r="EU24" s="9">
        <f t="shared" si="53"/>
        <v>0</v>
      </c>
      <c r="EV24" s="9">
        <f t="shared" ref="EV24:FA24" si="144">ROUND(ED24-DJ24,0)</f>
        <v>0</v>
      </c>
      <c r="EW24" s="9">
        <f t="shared" si="144"/>
        <v>0</v>
      </c>
      <c r="EX24" s="9">
        <f t="shared" si="144"/>
        <v>0</v>
      </c>
      <c r="EY24" s="9">
        <f t="shared" si="144"/>
        <v>0</v>
      </c>
      <c r="EZ24" s="9">
        <f t="shared" si="144"/>
        <v>0</v>
      </c>
      <c r="FA24" s="9">
        <f t="shared" si="144"/>
        <v>0</v>
      </c>
      <c r="FB24" s="9">
        <f t="shared" si="55"/>
        <v>0</v>
      </c>
      <c r="FC24" s="9">
        <f t="shared" si="56"/>
        <v>0</v>
      </c>
      <c r="FD24" s="9">
        <f t="shared" si="57"/>
        <v>0</v>
      </c>
      <c r="FE24" s="9">
        <f t="shared" si="58"/>
        <v>0</v>
      </c>
      <c r="FF24" s="9"/>
      <c r="FG24" s="9"/>
      <c r="FH24" s="9"/>
      <c r="FI24" s="27"/>
      <c r="FJ24" s="21">
        <v>7995</v>
      </c>
      <c r="FK24" s="28">
        <v>8190</v>
      </c>
      <c r="FL24" s="28">
        <v>7740</v>
      </c>
      <c r="FM24" s="29">
        <v>4560</v>
      </c>
      <c r="FN24" s="28">
        <v>0</v>
      </c>
      <c r="FO24" s="9"/>
    </row>
    <row r="25" spans="1:171">
      <c r="A25" s="2" t="s">
        <v>214</v>
      </c>
      <c r="B25" s="2">
        <v>100243</v>
      </c>
      <c r="C25" s="2">
        <v>2042592</v>
      </c>
      <c r="D25" s="2" t="s">
        <v>215</v>
      </c>
      <c r="E25" s="2">
        <v>183</v>
      </c>
      <c r="F25" s="2">
        <v>183</v>
      </c>
      <c r="G25" s="2">
        <v>30</v>
      </c>
      <c r="H25" s="2">
        <v>153</v>
      </c>
      <c r="I25" s="2">
        <v>0</v>
      </c>
      <c r="J25" s="2">
        <v>0</v>
      </c>
      <c r="K25" s="2">
        <v>0</v>
      </c>
      <c r="L25" s="2">
        <v>0</v>
      </c>
      <c r="M25" s="1">
        <f t="shared" si="5"/>
        <v>844911</v>
      </c>
      <c r="N25" s="2">
        <v>0.56830601092896205</v>
      </c>
      <c r="O25" s="2">
        <v>0</v>
      </c>
      <c r="P25" s="2">
        <f t="shared" si="6"/>
        <v>104.00000000000006</v>
      </c>
      <c r="Q25" s="2">
        <f t="shared" si="7"/>
        <v>0</v>
      </c>
      <c r="R25" s="1">
        <f t="shared" si="8"/>
        <v>59350.72000000003</v>
      </c>
      <c r="S25" s="2">
        <v>0.59016393442623005</v>
      </c>
      <c r="T25" s="2">
        <v>0</v>
      </c>
      <c r="U25" s="2">
        <f t="shared" si="9"/>
        <v>108.0000000000001</v>
      </c>
      <c r="V25" s="2">
        <f t="shared" si="10"/>
        <v>0</v>
      </c>
      <c r="W25" s="1">
        <f t="shared" si="11"/>
        <v>90524.520000000091</v>
      </c>
      <c r="X25" s="2">
        <v>0</v>
      </c>
      <c r="Y25" s="2">
        <v>0.22950819672131101</v>
      </c>
      <c r="Z25" s="2">
        <v>0.24590163934426201</v>
      </c>
      <c r="AA25" s="2">
        <v>0.36065573770491799</v>
      </c>
      <c r="AB25" s="2">
        <v>0.15846994535519099</v>
      </c>
      <c r="AC25" s="2">
        <v>0</v>
      </c>
      <c r="AD25" s="2">
        <f t="shared" ref="AD25:AI25" si="145">$F25*X25</f>
        <v>0</v>
      </c>
      <c r="AE25" s="2">
        <f t="shared" si="145"/>
        <v>41.999999999999915</v>
      </c>
      <c r="AF25" s="2">
        <f t="shared" si="145"/>
        <v>44.99999999999995</v>
      </c>
      <c r="AG25" s="2">
        <f t="shared" si="145"/>
        <v>65.999999999999986</v>
      </c>
      <c r="AH25" s="2">
        <f t="shared" si="145"/>
        <v>28.99999999999995</v>
      </c>
      <c r="AI25" s="2">
        <f t="shared" si="145"/>
        <v>0</v>
      </c>
      <c r="AJ25" s="1">
        <f t="shared" ref="AJ25:AO25" si="146">AD25*AJ$3</f>
        <v>0</v>
      </c>
      <c r="AK25" s="1">
        <f t="shared" si="146"/>
        <v>13981.79999999997</v>
      </c>
      <c r="AL25" s="1">
        <f t="shared" si="146"/>
        <v>23540.399999999976</v>
      </c>
      <c r="AM25" s="1">
        <f t="shared" si="146"/>
        <v>37664.87999999999</v>
      </c>
      <c r="AN25" s="1">
        <f t="shared" si="146"/>
        <v>17584.149999999969</v>
      </c>
      <c r="AO25" s="1">
        <f t="shared" si="146"/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f t="shared" ref="AV25:BA25" si="147">$I25*AP25</f>
        <v>0</v>
      </c>
      <c r="AW25" s="2">
        <f t="shared" si="147"/>
        <v>0</v>
      </c>
      <c r="AX25" s="2">
        <f t="shared" si="147"/>
        <v>0</v>
      </c>
      <c r="AY25" s="2">
        <f t="shared" si="147"/>
        <v>0</v>
      </c>
      <c r="AZ25" s="2">
        <f t="shared" si="147"/>
        <v>0</v>
      </c>
      <c r="BA25" s="2">
        <f t="shared" si="147"/>
        <v>0</v>
      </c>
      <c r="BB25" s="1">
        <f t="shared" ref="BB25:BG25" si="148">AV25*BB$4</f>
        <v>0</v>
      </c>
      <c r="BC25" s="1">
        <f t="shared" si="148"/>
        <v>0</v>
      </c>
      <c r="BD25" s="1">
        <f t="shared" si="148"/>
        <v>0</v>
      </c>
      <c r="BE25" s="1">
        <f t="shared" si="148"/>
        <v>0</v>
      </c>
      <c r="BF25" s="1">
        <f t="shared" si="148"/>
        <v>0</v>
      </c>
      <c r="BG25" s="1">
        <f t="shared" si="148"/>
        <v>0</v>
      </c>
      <c r="BH25" s="1">
        <f t="shared" si="16"/>
        <v>92771.229999999894</v>
      </c>
      <c r="BI25" s="2">
        <v>0.28758169934640498</v>
      </c>
      <c r="BJ25" s="2">
        <v>0</v>
      </c>
      <c r="BK25" s="2">
        <f t="shared" si="17"/>
        <v>52.627450980392112</v>
      </c>
      <c r="BL25" s="2">
        <f t="shared" si="18"/>
        <v>0</v>
      </c>
      <c r="BM25" s="1">
        <f t="shared" si="19"/>
        <v>36290.311372548989</v>
      </c>
      <c r="BN25" s="2">
        <v>0.24141876430205961</v>
      </c>
      <c r="BO25" s="2">
        <f t="shared" si="20"/>
        <v>44.179633867276905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f t="shared" si="21"/>
        <v>0</v>
      </c>
      <c r="CA25" s="2">
        <f t="shared" si="22"/>
        <v>0</v>
      </c>
      <c r="CB25" s="1">
        <f t="shared" si="23"/>
        <v>60667.473226544651</v>
      </c>
      <c r="CC25" s="2">
        <v>4.3715846994535498E-2</v>
      </c>
      <c r="CD25" s="2">
        <v>0</v>
      </c>
      <c r="CE25" s="2">
        <f t="shared" si="24"/>
        <v>0</v>
      </c>
      <c r="CF25" s="2">
        <f t="shared" si="25"/>
        <v>0</v>
      </c>
      <c r="CG25" s="1">
        <f t="shared" si="26"/>
        <v>0</v>
      </c>
      <c r="CH25" s="2">
        <v>152181.76000000001</v>
      </c>
      <c r="CI25" s="2">
        <v>66745</v>
      </c>
      <c r="CJ25" s="1">
        <f t="shared" si="27"/>
        <v>806115</v>
      </c>
      <c r="CK25" s="2">
        <f t="shared" si="28"/>
        <v>0</v>
      </c>
      <c r="CL25" s="2">
        <v>1490356.4198</v>
      </c>
      <c r="CM25" s="22">
        <v>39117.120499999997</v>
      </c>
      <c r="CN25" s="22">
        <v>66745</v>
      </c>
      <c r="CO25" s="2">
        <f t="shared" si="29"/>
        <v>152181.76000000001</v>
      </c>
      <c r="CP25" s="2">
        <f t="shared" si="30"/>
        <v>1310546.7803</v>
      </c>
      <c r="CQ25" s="2">
        <v>203</v>
      </c>
      <c r="CR25" s="2">
        <f t="shared" si="31"/>
        <v>6455.895469458128</v>
      </c>
      <c r="CS25" s="2">
        <f t="shared" si="32"/>
        <v>6466.8704917562072</v>
      </c>
      <c r="CT25" s="2">
        <f t="shared" si="33"/>
        <v>1183437.299991386</v>
      </c>
      <c r="CU25" s="2">
        <f t="shared" si="34"/>
        <v>66745</v>
      </c>
      <c r="CV25" s="2">
        <f t="shared" si="35"/>
        <v>152181.76000000001</v>
      </c>
      <c r="CW25" s="2">
        <f t="shared" si="36"/>
        <v>1402364.059991386</v>
      </c>
      <c r="CX25" s="1">
        <f t="shared" si="37"/>
        <v>0</v>
      </c>
      <c r="CY25" s="1">
        <f t="shared" si="38"/>
        <v>1403442.0145990937</v>
      </c>
      <c r="CZ25" s="2">
        <v>1</v>
      </c>
      <c r="DA25" s="2">
        <f t="shared" si="39"/>
        <v>2199.66</v>
      </c>
      <c r="DB25" s="2">
        <f t="shared" si="40"/>
        <v>4525.9607843137219</v>
      </c>
      <c r="DC25" s="2">
        <f t="shared" si="41"/>
        <v>618.54</v>
      </c>
      <c r="DD25" s="2">
        <f t="shared" si="42"/>
        <v>552.66</v>
      </c>
      <c r="DE25" s="2">
        <f t="shared" si="43"/>
        <v>1610.4</v>
      </c>
      <c r="DF25" s="2">
        <f t="shared" si="44"/>
        <v>4776.3</v>
      </c>
      <c r="DG25" s="1">
        <f t="shared" si="45"/>
        <v>14283.520784313721</v>
      </c>
      <c r="DH25" s="1">
        <f t="shared" si="46"/>
        <v>423888.4045990936</v>
      </c>
      <c r="DI25" s="9">
        <v>1</v>
      </c>
      <c r="DJ25" s="23">
        <v>5.36</v>
      </c>
      <c r="DK25" s="24">
        <v>0.7</v>
      </c>
      <c r="DL25" s="24">
        <v>0.17</v>
      </c>
      <c r="DM25" s="24">
        <v>0.45</v>
      </c>
      <c r="DN25" s="24">
        <v>0</v>
      </c>
      <c r="DO25" s="25">
        <v>6.68</v>
      </c>
      <c r="DP25" s="9">
        <v>7437</v>
      </c>
      <c r="DQ25" s="9">
        <v>18478</v>
      </c>
      <c r="DR25" s="9">
        <v>10</v>
      </c>
      <c r="DS25" s="9" t="str">
        <f t="shared" si="47"/>
        <v>7991622</v>
      </c>
      <c r="DT25" s="9">
        <f t="shared" si="48"/>
        <v>44607.089480000017</v>
      </c>
      <c r="DU25" s="26"/>
      <c r="DV25" s="9"/>
      <c r="DW25" s="9"/>
      <c r="DX25" s="9">
        <v>1403442.0145990937</v>
      </c>
      <c r="DY25" s="9">
        <v>423888.40459909372</v>
      </c>
      <c r="DZ25" s="9">
        <v>1402364.059991386</v>
      </c>
      <c r="EA25" s="9">
        <v>1403442.0145990937</v>
      </c>
      <c r="EB25" s="9">
        <v>14283.520784313721</v>
      </c>
      <c r="EC25" s="9">
        <v>1389158.4938147799</v>
      </c>
      <c r="ED25" s="9">
        <v>5.36</v>
      </c>
      <c r="EE25" s="9">
        <v>0.7</v>
      </c>
      <c r="EF25" s="9">
        <v>0.17</v>
      </c>
      <c r="EG25" s="9">
        <v>0.45</v>
      </c>
      <c r="EH25" s="9">
        <v>0</v>
      </c>
      <c r="EI25" s="9">
        <v>6.68</v>
      </c>
      <c r="EJ25" s="9">
        <v>10</v>
      </c>
      <c r="EK25" s="9">
        <v>44607.089480000017</v>
      </c>
      <c r="EL25" s="9">
        <v>18478</v>
      </c>
      <c r="EM25" s="9">
        <v>7437</v>
      </c>
      <c r="EN25" s="9">
        <v>1450130.8507942681</v>
      </c>
      <c r="EO25" s="9">
        <v>1452208.1423710058</v>
      </c>
      <c r="EP25" s="9">
        <f t="shared" si="63"/>
        <v>0</v>
      </c>
      <c r="EQ25" s="9">
        <f t="shared" si="49"/>
        <v>0</v>
      </c>
      <c r="ER25" s="9">
        <f t="shared" si="50"/>
        <v>0</v>
      </c>
      <c r="ES25" s="9">
        <f t="shared" si="51"/>
        <v>0</v>
      </c>
      <c r="ET25" s="9">
        <f t="shared" si="52"/>
        <v>0</v>
      </c>
      <c r="EU25" s="9">
        <f t="shared" si="53"/>
        <v>0</v>
      </c>
      <c r="EV25" s="9">
        <f t="shared" ref="EV25:FA25" si="149">ROUND(ED25-DJ25,0)</f>
        <v>0</v>
      </c>
      <c r="EW25" s="9">
        <f t="shared" si="149"/>
        <v>0</v>
      </c>
      <c r="EX25" s="9">
        <f t="shared" si="149"/>
        <v>0</v>
      </c>
      <c r="EY25" s="9">
        <f t="shared" si="149"/>
        <v>0</v>
      </c>
      <c r="EZ25" s="9">
        <f t="shared" si="149"/>
        <v>0</v>
      </c>
      <c r="FA25" s="9">
        <f t="shared" si="149"/>
        <v>0</v>
      </c>
      <c r="FB25" s="9">
        <f t="shared" si="55"/>
        <v>0</v>
      </c>
      <c r="FC25" s="9">
        <f t="shared" si="56"/>
        <v>0</v>
      </c>
      <c r="FD25" s="9">
        <f t="shared" si="57"/>
        <v>0</v>
      </c>
      <c r="FE25" s="9">
        <f t="shared" si="58"/>
        <v>0</v>
      </c>
      <c r="FF25" s="9"/>
      <c r="FG25" s="9"/>
      <c r="FH25" s="9"/>
      <c r="FI25" s="27"/>
      <c r="FJ25" s="21">
        <v>8970</v>
      </c>
      <c r="FK25" s="28">
        <v>4290</v>
      </c>
      <c r="FL25" s="28">
        <v>5220</v>
      </c>
      <c r="FM25" s="29">
        <v>6270</v>
      </c>
      <c r="FN25" s="28">
        <v>0</v>
      </c>
      <c r="FO25" s="9"/>
    </row>
    <row r="26" spans="1:171">
      <c r="A26" s="2" t="s">
        <v>216</v>
      </c>
      <c r="B26" s="2">
        <v>100244</v>
      </c>
      <c r="C26" s="2">
        <v>2042615</v>
      </c>
      <c r="D26" s="2" t="s">
        <v>217</v>
      </c>
      <c r="E26" s="2">
        <v>273</v>
      </c>
      <c r="F26" s="2">
        <v>273</v>
      </c>
      <c r="G26" s="2">
        <v>31</v>
      </c>
      <c r="H26" s="2">
        <v>242</v>
      </c>
      <c r="I26" s="2">
        <v>0</v>
      </c>
      <c r="J26" s="2">
        <v>0</v>
      </c>
      <c r="K26" s="2">
        <v>0</v>
      </c>
      <c r="L26" s="2">
        <v>0</v>
      </c>
      <c r="M26" s="1">
        <f t="shared" si="5"/>
        <v>1260441</v>
      </c>
      <c r="N26" s="2">
        <v>0.46886446886446898</v>
      </c>
      <c r="O26" s="2">
        <v>0</v>
      </c>
      <c r="P26" s="2">
        <f t="shared" si="6"/>
        <v>128.00000000000003</v>
      </c>
      <c r="Q26" s="2">
        <f t="shared" si="7"/>
        <v>0</v>
      </c>
      <c r="R26" s="1">
        <f t="shared" si="8"/>
        <v>73047.040000000008</v>
      </c>
      <c r="S26" s="2">
        <v>0.48351648351648402</v>
      </c>
      <c r="T26" s="2">
        <v>0</v>
      </c>
      <c r="U26" s="2">
        <f t="shared" si="9"/>
        <v>132.00000000000014</v>
      </c>
      <c r="V26" s="2">
        <f t="shared" si="10"/>
        <v>0</v>
      </c>
      <c r="W26" s="1">
        <f t="shared" si="11"/>
        <v>110641.08000000013</v>
      </c>
      <c r="X26" s="2">
        <v>0.139194139194139</v>
      </c>
      <c r="Y26" s="2">
        <v>0.124542124542125</v>
      </c>
      <c r="Z26" s="2">
        <v>0.212454212454212</v>
      </c>
      <c r="AA26" s="2">
        <v>6.22710622710623E-2</v>
      </c>
      <c r="AB26" s="2">
        <v>6.22710622710623E-2</v>
      </c>
      <c r="AC26" s="2">
        <v>7.3260073260073303E-3</v>
      </c>
      <c r="AD26" s="2">
        <f t="shared" ref="AD26:AI26" si="150">$F26*X26</f>
        <v>37.99999999999995</v>
      </c>
      <c r="AE26" s="2">
        <f t="shared" si="150"/>
        <v>34.000000000000128</v>
      </c>
      <c r="AF26" s="2">
        <f t="shared" si="150"/>
        <v>57.999999999999879</v>
      </c>
      <c r="AG26" s="2">
        <f t="shared" si="150"/>
        <v>17.000000000000007</v>
      </c>
      <c r="AH26" s="2">
        <f t="shared" si="150"/>
        <v>17.000000000000007</v>
      </c>
      <c r="AI26" s="2">
        <f t="shared" si="150"/>
        <v>2.0000000000000013</v>
      </c>
      <c r="AJ26" s="1">
        <f t="shared" ref="AJ26:AO26" si="151">AD26*AJ$3</f>
        <v>10391.099999999986</v>
      </c>
      <c r="AK26" s="1">
        <f t="shared" si="151"/>
        <v>11318.600000000042</v>
      </c>
      <c r="AL26" s="1">
        <f t="shared" si="151"/>
        <v>30340.959999999937</v>
      </c>
      <c r="AM26" s="1">
        <f t="shared" si="151"/>
        <v>9701.5600000000031</v>
      </c>
      <c r="AN26" s="1">
        <f t="shared" si="151"/>
        <v>10307.950000000004</v>
      </c>
      <c r="AO26" s="1">
        <f t="shared" si="151"/>
        <v>1593.1600000000012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f t="shared" ref="AV26:BA26" si="152">$I26*AP26</f>
        <v>0</v>
      </c>
      <c r="AW26" s="2">
        <f t="shared" si="152"/>
        <v>0</v>
      </c>
      <c r="AX26" s="2">
        <f t="shared" si="152"/>
        <v>0</v>
      </c>
      <c r="AY26" s="2">
        <f t="shared" si="152"/>
        <v>0</v>
      </c>
      <c r="AZ26" s="2">
        <f t="shared" si="152"/>
        <v>0</v>
      </c>
      <c r="BA26" s="2">
        <f t="shared" si="152"/>
        <v>0</v>
      </c>
      <c r="BB26" s="1">
        <f t="shared" ref="BB26:BG26" si="153">AV26*BB$4</f>
        <v>0</v>
      </c>
      <c r="BC26" s="1">
        <f t="shared" si="153"/>
        <v>0</v>
      </c>
      <c r="BD26" s="1">
        <f t="shared" si="153"/>
        <v>0</v>
      </c>
      <c r="BE26" s="1">
        <f t="shared" si="153"/>
        <v>0</v>
      </c>
      <c r="BF26" s="1">
        <f t="shared" si="153"/>
        <v>0</v>
      </c>
      <c r="BG26" s="1">
        <f t="shared" si="153"/>
        <v>0</v>
      </c>
      <c r="BH26" s="1">
        <f t="shared" si="16"/>
        <v>73653.329999999973</v>
      </c>
      <c r="BI26" s="2">
        <v>0.29338842975206603</v>
      </c>
      <c r="BJ26" s="2">
        <v>0</v>
      </c>
      <c r="BK26" s="2">
        <f t="shared" si="17"/>
        <v>80.095041322314032</v>
      </c>
      <c r="BL26" s="2">
        <f t="shared" si="18"/>
        <v>0</v>
      </c>
      <c r="BM26" s="1">
        <f t="shared" si="19"/>
        <v>55231.137644628092</v>
      </c>
      <c r="BN26" s="2">
        <v>0.34864130434782614</v>
      </c>
      <c r="BO26" s="2">
        <f t="shared" si="20"/>
        <v>95.179076086956542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f t="shared" si="21"/>
        <v>0</v>
      </c>
      <c r="CA26" s="2">
        <f t="shared" si="22"/>
        <v>0</v>
      </c>
      <c r="CB26" s="1">
        <f t="shared" si="23"/>
        <v>130699.90728260872</v>
      </c>
      <c r="CC26" s="2">
        <v>3.2967032967033003E-2</v>
      </c>
      <c r="CD26" s="2">
        <v>0</v>
      </c>
      <c r="CE26" s="2">
        <f t="shared" si="24"/>
        <v>0</v>
      </c>
      <c r="CF26" s="2">
        <f t="shared" si="25"/>
        <v>0</v>
      </c>
      <c r="CG26" s="1">
        <f t="shared" si="26"/>
        <v>0</v>
      </c>
      <c r="CH26" s="2">
        <v>152181.76000000001</v>
      </c>
      <c r="CI26" s="2">
        <v>32901</v>
      </c>
      <c r="CJ26" s="1">
        <f t="shared" si="27"/>
        <v>1202565</v>
      </c>
      <c r="CK26" s="2">
        <f t="shared" si="28"/>
        <v>0</v>
      </c>
      <c r="CL26" s="2">
        <v>1977662.7967000001</v>
      </c>
      <c r="CM26" s="22">
        <v>52943.8174</v>
      </c>
      <c r="CN26" s="22">
        <v>32901</v>
      </c>
      <c r="CO26" s="2">
        <f t="shared" si="29"/>
        <v>152181.76000000001</v>
      </c>
      <c r="CP26" s="2">
        <f t="shared" si="30"/>
        <v>1845523.8541000001</v>
      </c>
      <c r="CQ26" s="2">
        <v>296</v>
      </c>
      <c r="CR26" s="2">
        <f t="shared" si="31"/>
        <v>6234.8778854729735</v>
      </c>
      <c r="CS26" s="2">
        <f t="shared" si="32"/>
        <v>6245.4771778782779</v>
      </c>
      <c r="CT26" s="2">
        <f t="shared" si="33"/>
        <v>1705015.2695607699</v>
      </c>
      <c r="CU26" s="2">
        <f t="shared" si="34"/>
        <v>32901</v>
      </c>
      <c r="CV26" s="2">
        <f t="shared" si="35"/>
        <v>152181.76000000001</v>
      </c>
      <c r="CW26" s="2">
        <f t="shared" si="36"/>
        <v>1890098.0295607699</v>
      </c>
      <c r="CX26" s="1">
        <f t="shared" si="37"/>
        <v>1301.7746335329139</v>
      </c>
      <c r="CY26" s="1">
        <f t="shared" si="38"/>
        <v>1890098.0295607699</v>
      </c>
      <c r="CZ26" s="2">
        <v>1</v>
      </c>
      <c r="DA26" s="2">
        <f t="shared" si="39"/>
        <v>3281.46</v>
      </c>
      <c r="DB26" s="2">
        <f t="shared" si="40"/>
        <v>6888.173553719007</v>
      </c>
      <c r="DC26" s="2">
        <f t="shared" si="41"/>
        <v>922.74</v>
      </c>
      <c r="DD26" s="2">
        <f t="shared" si="42"/>
        <v>824.46</v>
      </c>
      <c r="DE26" s="2">
        <f t="shared" si="43"/>
        <v>2402.4</v>
      </c>
      <c r="DF26" s="2">
        <f t="shared" si="44"/>
        <v>7125.3</v>
      </c>
      <c r="DG26" s="1">
        <f t="shared" si="45"/>
        <v>21444.533553719008</v>
      </c>
      <c r="DH26" s="1">
        <f t="shared" si="46"/>
        <v>584500.42492723686</v>
      </c>
      <c r="DI26" s="9">
        <v>1</v>
      </c>
      <c r="DJ26" s="23">
        <v>5.36</v>
      </c>
      <c r="DK26" s="24">
        <v>0.33</v>
      </c>
      <c r="DL26" s="24">
        <v>0.13</v>
      </c>
      <c r="DM26" s="24">
        <v>0.45</v>
      </c>
      <c r="DN26" s="24">
        <v>0</v>
      </c>
      <c r="DO26" s="25">
        <v>6.27</v>
      </c>
      <c r="DP26" s="9">
        <v>7717</v>
      </c>
      <c r="DQ26" s="9">
        <v>22654</v>
      </c>
      <c r="DR26" s="9">
        <v>10</v>
      </c>
      <c r="DS26" s="9" t="str">
        <f t="shared" si="47"/>
        <v>8719096</v>
      </c>
      <c r="DT26" s="9">
        <f t="shared" si="48"/>
        <v>60307.967000000019</v>
      </c>
      <c r="DU26" s="26"/>
      <c r="DV26" s="9"/>
      <c r="DW26" s="9"/>
      <c r="DX26" s="9">
        <v>1888796.2549272371</v>
      </c>
      <c r="DY26" s="9">
        <v>584500.42492723686</v>
      </c>
      <c r="DZ26" s="9">
        <v>1890098.0295607699</v>
      </c>
      <c r="EA26" s="9">
        <v>1890098.0295607699</v>
      </c>
      <c r="EB26" s="9">
        <v>21444.533553719008</v>
      </c>
      <c r="EC26" s="9">
        <v>1868653.4960070509</v>
      </c>
      <c r="ED26" s="9">
        <v>5.36</v>
      </c>
      <c r="EE26" s="9">
        <v>0.33</v>
      </c>
      <c r="EF26" s="9">
        <v>0.13</v>
      </c>
      <c r="EG26" s="9">
        <v>0.45</v>
      </c>
      <c r="EH26" s="9">
        <v>0</v>
      </c>
      <c r="EI26" s="9">
        <v>6.27</v>
      </c>
      <c r="EJ26" s="9">
        <v>10</v>
      </c>
      <c r="EK26" s="9">
        <v>60307.967000000019</v>
      </c>
      <c r="EL26" s="9">
        <v>22654</v>
      </c>
      <c r="EM26" s="9">
        <v>7717</v>
      </c>
      <c r="EN26" s="9">
        <v>1953399.2847931632</v>
      </c>
      <c r="EO26" s="9">
        <v>1956389.6675076988</v>
      </c>
      <c r="EP26" s="9">
        <f t="shared" si="63"/>
        <v>0</v>
      </c>
      <c r="EQ26" s="9">
        <f t="shared" si="49"/>
        <v>0</v>
      </c>
      <c r="ER26" s="9">
        <f t="shared" si="50"/>
        <v>0</v>
      </c>
      <c r="ES26" s="9">
        <f t="shared" si="51"/>
        <v>0</v>
      </c>
      <c r="ET26" s="9">
        <f t="shared" si="52"/>
        <v>0</v>
      </c>
      <c r="EU26" s="9">
        <f t="shared" si="53"/>
        <v>0</v>
      </c>
      <c r="EV26" s="9">
        <f t="shared" ref="EV26:FA26" si="154">ROUND(ED26-DJ26,0)</f>
        <v>0</v>
      </c>
      <c r="EW26" s="9">
        <f t="shared" si="154"/>
        <v>0</v>
      </c>
      <c r="EX26" s="9">
        <f t="shared" si="154"/>
        <v>0</v>
      </c>
      <c r="EY26" s="9">
        <f t="shared" si="154"/>
        <v>0</v>
      </c>
      <c r="EZ26" s="9">
        <f t="shared" si="154"/>
        <v>0</v>
      </c>
      <c r="FA26" s="9">
        <f t="shared" si="154"/>
        <v>0</v>
      </c>
      <c r="FB26" s="9">
        <f t="shared" si="55"/>
        <v>0</v>
      </c>
      <c r="FC26" s="9">
        <f t="shared" si="56"/>
        <v>0</v>
      </c>
      <c r="FD26" s="9">
        <f t="shared" si="57"/>
        <v>0</v>
      </c>
      <c r="FE26" s="9">
        <f t="shared" si="58"/>
        <v>0</v>
      </c>
      <c r="FF26" s="9"/>
      <c r="FG26" s="9"/>
      <c r="FH26" s="9"/>
      <c r="FI26" s="27"/>
      <c r="FJ26" s="21">
        <v>6825</v>
      </c>
      <c r="FK26" s="28">
        <v>4290</v>
      </c>
      <c r="FL26" s="28">
        <v>4680</v>
      </c>
      <c r="FM26" s="29">
        <v>2280</v>
      </c>
      <c r="FN26" s="28">
        <v>0</v>
      </c>
      <c r="FO26" s="9"/>
    </row>
    <row r="27" spans="1:171">
      <c r="A27" s="2" t="s">
        <v>218</v>
      </c>
      <c r="B27" s="2">
        <v>100245</v>
      </c>
      <c r="C27" s="2">
        <v>2042636</v>
      </c>
      <c r="D27" s="2" t="s">
        <v>219</v>
      </c>
      <c r="E27" s="2">
        <v>392</v>
      </c>
      <c r="F27" s="2">
        <v>392</v>
      </c>
      <c r="G27" s="2">
        <v>57</v>
      </c>
      <c r="H27" s="2">
        <v>335</v>
      </c>
      <c r="I27" s="2">
        <v>0</v>
      </c>
      <c r="J27" s="2">
        <v>0</v>
      </c>
      <c r="K27" s="2">
        <v>0</v>
      </c>
      <c r="L27" s="2">
        <v>0</v>
      </c>
      <c r="M27" s="1">
        <f t="shared" si="5"/>
        <v>1809864</v>
      </c>
      <c r="N27" s="2">
        <v>0.49489795918367302</v>
      </c>
      <c r="O27" s="2">
        <v>0</v>
      </c>
      <c r="P27" s="2">
        <f t="shared" si="6"/>
        <v>193.99999999999983</v>
      </c>
      <c r="Q27" s="2">
        <f t="shared" si="7"/>
        <v>0</v>
      </c>
      <c r="R27" s="1">
        <f t="shared" si="8"/>
        <v>110711.9199999999</v>
      </c>
      <c r="S27" s="2">
        <v>0.49744897959183698</v>
      </c>
      <c r="T27" s="2">
        <v>0</v>
      </c>
      <c r="U27" s="2">
        <f t="shared" si="9"/>
        <v>195.00000000000009</v>
      </c>
      <c r="V27" s="2">
        <f t="shared" si="10"/>
        <v>0</v>
      </c>
      <c r="W27" s="1">
        <f t="shared" si="11"/>
        <v>163447.05000000008</v>
      </c>
      <c r="X27" s="2">
        <v>2.04081632653061E-2</v>
      </c>
      <c r="Y27" s="2">
        <v>0.30102040816326497</v>
      </c>
      <c r="Z27" s="2">
        <v>0.22193877551020399</v>
      </c>
      <c r="AA27" s="2">
        <v>0.23469387755102</v>
      </c>
      <c r="AB27" s="2">
        <v>0.16326530612244899</v>
      </c>
      <c r="AC27" s="2">
        <v>2.5510204081632699E-2</v>
      </c>
      <c r="AD27" s="2">
        <f t="shared" ref="AD27:AI27" si="155">$F27*X27</f>
        <v>7.9999999999999911</v>
      </c>
      <c r="AE27" s="2">
        <f t="shared" si="155"/>
        <v>117.99999999999987</v>
      </c>
      <c r="AF27" s="2">
        <f t="shared" si="155"/>
        <v>86.999999999999972</v>
      </c>
      <c r="AG27" s="2">
        <f t="shared" si="155"/>
        <v>91.999999999999844</v>
      </c>
      <c r="AH27" s="2">
        <f t="shared" si="155"/>
        <v>64</v>
      </c>
      <c r="AI27" s="2">
        <f t="shared" si="155"/>
        <v>10.000000000000018</v>
      </c>
      <c r="AJ27" s="1">
        <f t="shared" ref="AJ27:AO27" si="156">AD27*AJ$3</f>
        <v>2187.5999999999976</v>
      </c>
      <c r="AK27" s="1">
        <f t="shared" si="156"/>
        <v>39282.199999999953</v>
      </c>
      <c r="AL27" s="1">
        <f t="shared" si="156"/>
        <v>45511.439999999988</v>
      </c>
      <c r="AM27" s="1">
        <f t="shared" si="156"/>
        <v>52502.559999999903</v>
      </c>
      <c r="AN27" s="1">
        <f t="shared" si="156"/>
        <v>38806.400000000001</v>
      </c>
      <c r="AO27" s="1">
        <f t="shared" si="156"/>
        <v>7965.8000000000147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f t="shared" ref="AV27:BA27" si="157">$I27*AP27</f>
        <v>0</v>
      </c>
      <c r="AW27" s="2">
        <f t="shared" si="157"/>
        <v>0</v>
      </c>
      <c r="AX27" s="2">
        <f t="shared" si="157"/>
        <v>0</v>
      </c>
      <c r="AY27" s="2">
        <f t="shared" si="157"/>
        <v>0</v>
      </c>
      <c r="AZ27" s="2">
        <f t="shared" si="157"/>
        <v>0</v>
      </c>
      <c r="BA27" s="2">
        <f t="shared" si="157"/>
        <v>0</v>
      </c>
      <c r="BB27" s="1">
        <f t="shared" ref="BB27:BG27" si="158">AV27*BB$4</f>
        <v>0</v>
      </c>
      <c r="BC27" s="1">
        <f t="shared" si="158"/>
        <v>0</v>
      </c>
      <c r="BD27" s="1">
        <f t="shared" si="158"/>
        <v>0</v>
      </c>
      <c r="BE27" s="1">
        <f t="shared" si="158"/>
        <v>0</v>
      </c>
      <c r="BF27" s="1">
        <f t="shared" si="158"/>
        <v>0</v>
      </c>
      <c r="BG27" s="1">
        <f t="shared" si="158"/>
        <v>0</v>
      </c>
      <c r="BH27" s="1">
        <f t="shared" si="16"/>
        <v>186255.99999999985</v>
      </c>
      <c r="BI27" s="2">
        <v>0.155223880597015</v>
      </c>
      <c r="BJ27" s="2">
        <v>0</v>
      </c>
      <c r="BK27" s="2">
        <f t="shared" si="17"/>
        <v>60.847761194029879</v>
      </c>
      <c r="BL27" s="2">
        <f t="shared" si="18"/>
        <v>0</v>
      </c>
      <c r="BM27" s="1">
        <f t="shared" si="19"/>
        <v>41958.790686567183</v>
      </c>
      <c r="BN27" s="2">
        <v>0.3592860341628813</v>
      </c>
      <c r="BO27" s="2">
        <f t="shared" si="20"/>
        <v>140.84012539184945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f t="shared" si="21"/>
        <v>0</v>
      </c>
      <c r="CA27" s="2">
        <f t="shared" si="22"/>
        <v>0</v>
      </c>
      <c r="CB27" s="1">
        <f t="shared" si="23"/>
        <v>193401.66018808767</v>
      </c>
      <c r="CC27" s="2">
        <v>4.3367346938775503E-2</v>
      </c>
      <c r="CD27" s="2">
        <v>0</v>
      </c>
      <c r="CE27" s="2">
        <f t="shared" si="24"/>
        <v>0</v>
      </c>
      <c r="CF27" s="2">
        <f t="shared" si="25"/>
        <v>0</v>
      </c>
      <c r="CG27" s="1">
        <f t="shared" si="26"/>
        <v>0</v>
      </c>
      <c r="CH27" s="2">
        <v>152181.76000000001</v>
      </c>
      <c r="CI27" s="2">
        <v>31596</v>
      </c>
      <c r="CJ27" s="1">
        <f t="shared" si="27"/>
        <v>1726760</v>
      </c>
      <c r="CK27" s="2">
        <f t="shared" si="28"/>
        <v>0</v>
      </c>
      <c r="CL27" s="2">
        <v>2654663.4578</v>
      </c>
      <c r="CM27" s="22">
        <v>70802.509999999995</v>
      </c>
      <c r="CN27" s="22">
        <v>31596</v>
      </c>
      <c r="CO27" s="2">
        <f t="shared" si="29"/>
        <v>152181.76000000001</v>
      </c>
      <c r="CP27" s="2">
        <f t="shared" si="30"/>
        <v>2541688.2078</v>
      </c>
      <c r="CQ27" s="2">
        <v>396</v>
      </c>
      <c r="CR27" s="2">
        <f t="shared" si="31"/>
        <v>6418.4045651515153</v>
      </c>
      <c r="CS27" s="2">
        <f t="shared" si="32"/>
        <v>6429.3158529122729</v>
      </c>
      <c r="CT27" s="2">
        <f t="shared" si="33"/>
        <v>2520291.8143416108</v>
      </c>
      <c r="CU27" s="2">
        <f t="shared" si="34"/>
        <v>31596</v>
      </c>
      <c r="CV27" s="2">
        <f t="shared" si="35"/>
        <v>152181.76000000001</v>
      </c>
      <c r="CW27" s="2">
        <f t="shared" si="36"/>
        <v>2704069.574341611</v>
      </c>
      <c r="CX27" s="1">
        <f t="shared" si="37"/>
        <v>14652.393466956273</v>
      </c>
      <c r="CY27" s="1">
        <f t="shared" si="38"/>
        <v>2704069.5743416115</v>
      </c>
      <c r="CZ27" s="2">
        <v>1</v>
      </c>
      <c r="DA27" s="2">
        <f t="shared" si="39"/>
        <v>4711.84</v>
      </c>
      <c r="DB27" s="2">
        <f t="shared" si="40"/>
        <v>5232.9074626865695</v>
      </c>
      <c r="DC27" s="2">
        <f t="shared" si="41"/>
        <v>1324.96</v>
      </c>
      <c r="DD27" s="2">
        <f t="shared" si="42"/>
        <v>1183.8399999999999</v>
      </c>
      <c r="DE27" s="2">
        <f t="shared" si="43"/>
        <v>3449.6000000000004</v>
      </c>
      <c r="DF27" s="2">
        <f t="shared" si="44"/>
        <v>10231.200000000001</v>
      </c>
      <c r="DG27" s="1">
        <f t="shared" si="45"/>
        <v>26134.347462686572</v>
      </c>
      <c r="DH27" s="1">
        <f t="shared" si="46"/>
        <v>892740.38087465474</v>
      </c>
      <c r="DI27" s="9">
        <v>1</v>
      </c>
      <c r="DJ27" s="23">
        <v>5.36</v>
      </c>
      <c r="DK27" s="24">
        <v>0.27</v>
      </c>
      <c r="DL27" s="24">
        <v>0.16</v>
      </c>
      <c r="DM27" s="24">
        <v>0.45</v>
      </c>
      <c r="DN27" s="24">
        <v>0</v>
      </c>
      <c r="DO27" s="25">
        <v>6.24</v>
      </c>
      <c r="DP27" s="9">
        <v>8067</v>
      </c>
      <c r="DQ27" s="9">
        <v>32157</v>
      </c>
      <c r="DR27" s="9">
        <v>10</v>
      </c>
      <c r="DS27" s="9" t="str">
        <f t="shared" si="47"/>
        <v>6460228</v>
      </c>
      <c r="DT27" s="9">
        <f t="shared" si="48"/>
        <v>84934.066959999996</v>
      </c>
      <c r="DU27" s="26"/>
      <c r="DV27" s="9"/>
      <c r="DW27" s="9"/>
      <c r="DX27" s="9">
        <v>2689417.180874655</v>
      </c>
      <c r="DY27" s="9">
        <v>892740.38087465474</v>
      </c>
      <c r="DZ27" s="9">
        <v>2704069.574341611</v>
      </c>
      <c r="EA27" s="9">
        <v>2704069.574341611</v>
      </c>
      <c r="EB27" s="9">
        <v>26134.347462686572</v>
      </c>
      <c r="EC27" s="9">
        <v>2677935.2268789243</v>
      </c>
      <c r="ED27" s="9">
        <v>5.36</v>
      </c>
      <c r="EE27" s="9">
        <v>0.27</v>
      </c>
      <c r="EF27" s="9">
        <v>0.16</v>
      </c>
      <c r="EG27" s="9">
        <v>0.45</v>
      </c>
      <c r="EH27" s="9">
        <v>0</v>
      </c>
      <c r="EI27" s="9">
        <v>6.24</v>
      </c>
      <c r="EJ27" s="9">
        <v>10</v>
      </c>
      <c r="EK27" s="9">
        <v>84934.066959999996</v>
      </c>
      <c r="EL27" s="9">
        <v>32157</v>
      </c>
      <c r="EM27" s="9">
        <v>8067</v>
      </c>
      <c r="EN27" s="9">
        <v>2793424.764030064</v>
      </c>
      <c r="EO27" s="9">
        <v>2797845.4085593023</v>
      </c>
      <c r="EP27" s="9">
        <f t="shared" si="63"/>
        <v>0</v>
      </c>
      <c r="EQ27" s="9">
        <f t="shared" si="49"/>
        <v>0</v>
      </c>
      <c r="ER27" s="9">
        <f t="shared" si="50"/>
        <v>0</v>
      </c>
      <c r="ES27" s="9">
        <f t="shared" si="51"/>
        <v>0</v>
      </c>
      <c r="ET27" s="9">
        <f t="shared" si="52"/>
        <v>0</v>
      </c>
      <c r="EU27" s="9">
        <f t="shared" si="53"/>
        <v>0</v>
      </c>
      <c r="EV27" s="9">
        <f t="shared" ref="EV27:FA27" si="159">ROUND(ED27-DJ27,0)</f>
        <v>0</v>
      </c>
      <c r="EW27" s="9">
        <f t="shared" si="159"/>
        <v>0</v>
      </c>
      <c r="EX27" s="9">
        <f t="shared" si="159"/>
        <v>0</v>
      </c>
      <c r="EY27" s="9">
        <f t="shared" si="159"/>
        <v>0</v>
      </c>
      <c r="EZ27" s="9">
        <f t="shared" si="159"/>
        <v>0</v>
      </c>
      <c r="FA27" s="9">
        <f t="shared" si="159"/>
        <v>0</v>
      </c>
      <c r="FB27" s="9">
        <f t="shared" si="55"/>
        <v>0</v>
      </c>
      <c r="FC27" s="9">
        <f t="shared" si="56"/>
        <v>0</v>
      </c>
      <c r="FD27" s="9">
        <f t="shared" si="57"/>
        <v>0</v>
      </c>
      <c r="FE27" s="9">
        <f t="shared" si="58"/>
        <v>0</v>
      </c>
      <c r="FF27" s="9"/>
      <c r="FG27" s="9"/>
      <c r="FH27" s="9"/>
      <c r="FI27" s="27"/>
      <c r="FJ27" s="21">
        <v>7995</v>
      </c>
      <c r="FK27" s="28">
        <v>8385</v>
      </c>
      <c r="FL27" s="28">
        <v>7740</v>
      </c>
      <c r="FM27" s="29">
        <v>3420</v>
      </c>
      <c r="FN27" s="28">
        <v>0</v>
      </c>
      <c r="FO27" s="9"/>
    </row>
    <row r="28" spans="1:171">
      <c r="A28" s="2" t="s">
        <v>220</v>
      </c>
      <c r="B28" s="2">
        <v>100248</v>
      </c>
      <c r="C28" s="2">
        <v>2042654</v>
      </c>
      <c r="D28" s="2" t="s">
        <v>221</v>
      </c>
      <c r="E28" s="2">
        <v>584</v>
      </c>
      <c r="F28" s="2">
        <v>584</v>
      </c>
      <c r="G28" s="2">
        <v>82</v>
      </c>
      <c r="H28" s="2">
        <v>502</v>
      </c>
      <c r="I28" s="2">
        <v>0</v>
      </c>
      <c r="J28" s="2">
        <v>0</v>
      </c>
      <c r="K28" s="2">
        <v>0</v>
      </c>
      <c r="L28" s="2">
        <v>1</v>
      </c>
      <c r="M28" s="1">
        <f t="shared" si="5"/>
        <v>2696328</v>
      </c>
      <c r="N28" s="2">
        <v>0.50171232876712302</v>
      </c>
      <c r="O28" s="2">
        <v>0</v>
      </c>
      <c r="P28" s="2">
        <f t="shared" si="6"/>
        <v>292.99999999999983</v>
      </c>
      <c r="Q28" s="2">
        <f t="shared" si="7"/>
        <v>0</v>
      </c>
      <c r="R28" s="1">
        <f t="shared" si="8"/>
        <v>167209.23999999987</v>
      </c>
      <c r="S28" s="2">
        <v>0.51198630136986301</v>
      </c>
      <c r="T28" s="2">
        <v>0</v>
      </c>
      <c r="U28" s="2">
        <f t="shared" si="9"/>
        <v>299</v>
      </c>
      <c r="V28" s="2">
        <f t="shared" si="10"/>
        <v>0</v>
      </c>
      <c r="W28" s="1">
        <f t="shared" si="11"/>
        <v>250618.81000000003</v>
      </c>
      <c r="X28" s="2">
        <v>9.0909090909090898E-2</v>
      </c>
      <c r="Y28" s="2">
        <v>4.6312178387650102E-2</v>
      </c>
      <c r="Z28" s="2">
        <v>8.0617495711835296E-2</v>
      </c>
      <c r="AA28" s="2">
        <v>0.24699828473413399</v>
      </c>
      <c r="AB28" s="2">
        <v>0.26243567753001701</v>
      </c>
      <c r="AC28" s="2">
        <v>0.23156089193825</v>
      </c>
      <c r="AD28" s="2">
        <f t="shared" ref="AD28:AI28" si="160">$F28*X28</f>
        <v>53.090909090909086</v>
      </c>
      <c r="AE28" s="2">
        <f t="shared" si="160"/>
        <v>27.046312178387659</v>
      </c>
      <c r="AF28" s="2">
        <f t="shared" si="160"/>
        <v>47.080617495711813</v>
      </c>
      <c r="AG28" s="2">
        <f t="shared" si="160"/>
        <v>144.24699828473425</v>
      </c>
      <c r="AH28" s="2">
        <f t="shared" si="160"/>
        <v>153.26243567752994</v>
      </c>
      <c r="AI28" s="2">
        <f t="shared" si="160"/>
        <v>135.23156089193799</v>
      </c>
      <c r="AJ28" s="1">
        <f t="shared" ref="AJ28:AO28" si="161">AD28*AJ$3</f>
        <v>14517.709090909089</v>
      </c>
      <c r="AK28" s="1">
        <f t="shared" si="161"/>
        <v>9003.7173241852506</v>
      </c>
      <c r="AL28" s="1">
        <f t="shared" si="161"/>
        <v>24628.812624356764</v>
      </c>
      <c r="AM28" s="1">
        <f t="shared" si="161"/>
        <v>82318.876981132125</v>
      </c>
      <c r="AN28" s="1">
        <f t="shared" si="161"/>
        <v>92930.677873070279</v>
      </c>
      <c r="AO28" s="1">
        <f t="shared" si="161"/>
        <v>107722.75677529997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f t="shared" ref="AV28:BA28" si="162">$I28*AP28</f>
        <v>0</v>
      </c>
      <c r="AW28" s="2">
        <f t="shared" si="162"/>
        <v>0</v>
      </c>
      <c r="AX28" s="2">
        <f t="shared" si="162"/>
        <v>0</v>
      </c>
      <c r="AY28" s="2">
        <f t="shared" si="162"/>
        <v>0</v>
      </c>
      <c r="AZ28" s="2">
        <f t="shared" si="162"/>
        <v>0</v>
      </c>
      <c r="BA28" s="2">
        <f t="shared" si="162"/>
        <v>0</v>
      </c>
      <c r="BB28" s="1">
        <f t="shared" ref="BB28:BG28" si="163">AV28*BB$4</f>
        <v>0</v>
      </c>
      <c r="BC28" s="1">
        <f t="shared" si="163"/>
        <v>0</v>
      </c>
      <c r="BD28" s="1">
        <f t="shared" si="163"/>
        <v>0</v>
      </c>
      <c r="BE28" s="1">
        <f t="shared" si="163"/>
        <v>0</v>
      </c>
      <c r="BF28" s="1">
        <f t="shared" si="163"/>
        <v>0</v>
      </c>
      <c r="BG28" s="1">
        <f t="shared" si="163"/>
        <v>0</v>
      </c>
      <c r="BH28" s="1">
        <f t="shared" si="16"/>
        <v>331122.55066895345</v>
      </c>
      <c r="BI28" s="2">
        <v>0.340637450199203</v>
      </c>
      <c r="BJ28" s="2">
        <v>0</v>
      </c>
      <c r="BK28" s="2">
        <f t="shared" si="17"/>
        <v>198.93227091633455</v>
      </c>
      <c r="BL28" s="2">
        <f t="shared" si="18"/>
        <v>0</v>
      </c>
      <c r="BM28" s="1">
        <f t="shared" si="19"/>
        <v>137177.72605577682</v>
      </c>
      <c r="BN28" s="2">
        <v>0.26461964038727498</v>
      </c>
      <c r="BO28" s="2">
        <f t="shared" si="20"/>
        <v>154.5378699861686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f t="shared" si="21"/>
        <v>0</v>
      </c>
      <c r="CA28" s="2">
        <f t="shared" si="22"/>
        <v>0</v>
      </c>
      <c r="CB28" s="1">
        <f t="shared" si="23"/>
        <v>212211.40306500674</v>
      </c>
      <c r="CC28" s="2">
        <v>7.8902229845626101E-2</v>
      </c>
      <c r="CD28" s="2">
        <v>0</v>
      </c>
      <c r="CE28" s="2">
        <f t="shared" si="24"/>
        <v>11.038902229845645</v>
      </c>
      <c r="CF28" s="2">
        <f t="shared" si="25"/>
        <v>0</v>
      </c>
      <c r="CG28" s="1">
        <f t="shared" si="26"/>
        <v>12402.537822298476</v>
      </c>
      <c r="CH28" s="2">
        <v>152181.76000000001</v>
      </c>
      <c r="CI28" s="2">
        <v>48566</v>
      </c>
      <c r="CJ28" s="1">
        <f t="shared" si="27"/>
        <v>2572520</v>
      </c>
      <c r="CK28" s="2">
        <f t="shared" si="28"/>
        <v>0</v>
      </c>
      <c r="CL28" s="2">
        <v>3768917.7768999999</v>
      </c>
      <c r="CM28" s="22">
        <v>98141.552800000005</v>
      </c>
      <c r="CN28" s="22">
        <v>48566</v>
      </c>
      <c r="CO28" s="2">
        <f t="shared" si="29"/>
        <v>152181.76000000001</v>
      </c>
      <c r="CP28" s="2">
        <f t="shared" si="30"/>
        <v>3666311.5696999999</v>
      </c>
      <c r="CQ28" s="2">
        <v>567</v>
      </c>
      <c r="CR28" s="2">
        <f t="shared" si="31"/>
        <v>6466.1579712522043</v>
      </c>
      <c r="CS28" s="2">
        <f t="shared" si="32"/>
        <v>6477.150439803333</v>
      </c>
      <c r="CT28" s="2">
        <f t="shared" si="33"/>
        <v>3782655.8568451465</v>
      </c>
      <c r="CU28" s="2">
        <f t="shared" si="34"/>
        <v>48566</v>
      </c>
      <c r="CV28" s="2">
        <f t="shared" si="35"/>
        <v>152181.76000000001</v>
      </c>
      <c r="CW28" s="2">
        <f t="shared" si="36"/>
        <v>3983403.6168451468</v>
      </c>
      <c r="CX28" s="1">
        <f t="shared" si="37"/>
        <v>0</v>
      </c>
      <c r="CY28" s="1">
        <f t="shared" si="38"/>
        <v>4007818.0276120352</v>
      </c>
      <c r="CZ28" s="2">
        <v>1</v>
      </c>
      <c r="DA28" s="2">
        <f t="shared" si="39"/>
        <v>7019.6799999999994</v>
      </c>
      <c r="DB28" s="2">
        <f t="shared" si="40"/>
        <v>17108.17529880477</v>
      </c>
      <c r="DC28" s="2">
        <f t="shared" si="41"/>
        <v>1973.9199999999998</v>
      </c>
      <c r="DD28" s="2">
        <f t="shared" si="42"/>
        <v>1763.68</v>
      </c>
      <c r="DE28" s="2">
        <f t="shared" si="43"/>
        <v>5139.2000000000007</v>
      </c>
      <c r="DF28" s="2">
        <f t="shared" si="44"/>
        <v>15242.400000000001</v>
      </c>
      <c r="DG28" s="1">
        <f t="shared" si="45"/>
        <v>48247.055298804771</v>
      </c>
      <c r="DH28" s="1">
        <f t="shared" si="46"/>
        <v>1401908.7876120356</v>
      </c>
      <c r="DI28" s="9">
        <v>1</v>
      </c>
      <c r="DJ28" s="23">
        <v>5.36</v>
      </c>
      <c r="DK28" s="24">
        <v>0.31</v>
      </c>
      <c r="DL28" s="24">
        <v>0.2</v>
      </c>
      <c r="DM28" s="24">
        <v>0.45</v>
      </c>
      <c r="DN28" s="24">
        <v>0</v>
      </c>
      <c r="DO28" s="25">
        <v>6.32</v>
      </c>
      <c r="DP28" s="9">
        <v>8704</v>
      </c>
      <c r="DQ28" s="9">
        <v>42195</v>
      </c>
      <c r="DR28" s="9">
        <v>0</v>
      </c>
      <c r="DS28" s="9" t="str">
        <f t="shared" si="47"/>
        <v>8637886</v>
      </c>
      <c r="DT28" s="9">
        <f t="shared" si="48"/>
        <v>124957.86984</v>
      </c>
      <c r="DU28" s="26"/>
      <c r="DV28" s="9"/>
      <c r="DW28" s="9"/>
      <c r="DX28" s="9">
        <v>4007818.0276120352</v>
      </c>
      <c r="DY28" s="9">
        <v>1401908.7876120356</v>
      </c>
      <c r="DZ28" s="9">
        <v>3983403.6168451468</v>
      </c>
      <c r="EA28" s="9">
        <v>4007818.0276120352</v>
      </c>
      <c r="EB28" s="9">
        <v>48247.055298804771</v>
      </c>
      <c r="EC28" s="9">
        <v>3959570.9723132304</v>
      </c>
      <c r="ED28" s="9">
        <v>5.36</v>
      </c>
      <c r="EE28" s="9">
        <v>0.31</v>
      </c>
      <c r="EF28" s="9">
        <v>0.2</v>
      </c>
      <c r="EG28" s="9">
        <v>0.45</v>
      </c>
      <c r="EH28" s="9">
        <v>0</v>
      </c>
      <c r="EI28" s="9">
        <v>6.32</v>
      </c>
      <c r="EJ28" s="9">
        <v>0</v>
      </c>
      <c r="EK28" s="9">
        <v>124957.86984</v>
      </c>
      <c r="EL28" s="9">
        <v>42195</v>
      </c>
      <c r="EM28" s="9">
        <v>8704</v>
      </c>
      <c r="EN28" s="9">
        <v>4139452.5840159436</v>
      </c>
      <c r="EO28" s="9">
        <v>4146132.6268391581</v>
      </c>
      <c r="EP28" s="9">
        <f t="shared" si="63"/>
        <v>0</v>
      </c>
      <c r="EQ28" s="9">
        <f t="shared" si="49"/>
        <v>0</v>
      </c>
      <c r="ER28" s="9">
        <f t="shared" si="50"/>
        <v>0</v>
      </c>
      <c r="ES28" s="9">
        <f t="shared" si="51"/>
        <v>0</v>
      </c>
      <c r="ET28" s="9">
        <f t="shared" si="52"/>
        <v>0</v>
      </c>
      <c r="EU28" s="9">
        <f t="shared" si="53"/>
        <v>0</v>
      </c>
      <c r="EV28" s="9">
        <f t="shared" ref="EV28:FA28" si="164">ROUND(ED28-DJ28,0)</f>
        <v>0</v>
      </c>
      <c r="EW28" s="9">
        <f t="shared" si="164"/>
        <v>0</v>
      </c>
      <c r="EX28" s="9">
        <f t="shared" si="164"/>
        <v>0</v>
      </c>
      <c r="EY28" s="9">
        <f t="shared" si="164"/>
        <v>0</v>
      </c>
      <c r="EZ28" s="9">
        <f t="shared" si="164"/>
        <v>0</v>
      </c>
      <c r="FA28" s="9">
        <f t="shared" si="164"/>
        <v>0</v>
      </c>
      <c r="FB28" s="9">
        <f t="shared" si="55"/>
        <v>0</v>
      </c>
      <c r="FC28" s="9">
        <f t="shared" si="56"/>
        <v>0</v>
      </c>
      <c r="FD28" s="9">
        <f t="shared" si="57"/>
        <v>0</v>
      </c>
      <c r="FE28" s="9">
        <f t="shared" si="58"/>
        <v>0</v>
      </c>
      <c r="FF28" s="9"/>
      <c r="FG28" s="9"/>
      <c r="FH28" s="9"/>
      <c r="FI28" s="27"/>
      <c r="FJ28" s="21">
        <v>16575</v>
      </c>
      <c r="FK28" s="28">
        <v>13650</v>
      </c>
      <c r="FL28" s="28">
        <v>15480</v>
      </c>
      <c r="FM28" s="29">
        <v>8550</v>
      </c>
      <c r="FN28" s="28">
        <v>0</v>
      </c>
      <c r="FO28" s="9"/>
    </row>
    <row r="29" spans="1:171">
      <c r="A29" s="2" t="s">
        <v>222</v>
      </c>
      <c r="B29" s="2">
        <v>100250</v>
      </c>
      <c r="C29" s="2">
        <v>2042779</v>
      </c>
      <c r="D29" s="2" t="s">
        <v>223</v>
      </c>
      <c r="E29" s="2">
        <v>204</v>
      </c>
      <c r="F29" s="2">
        <v>204</v>
      </c>
      <c r="G29" s="2">
        <v>30</v>
      </c>
      <c r="H29" s="2">
        <v>174</v>
      </c>
      <c r="I29" s="2">
        <v>0</v>
      </c>
      <c r="J29" s="2">
        <v>0</v>
      </c>
      <c r="K29" s="2">
        <v>0</v>
      </c>
      <c r="L29" s="2">
        <v>0</v>
      </c>
      <c r="M29" s="1">
        <f t="shared" si="5"/>
        <v>941868</v>
      </c>
      <c r="N29" s="2">
        <v>0.52941176470588203</v>
      </c>
      <c r="O29" s="2">
        <v>0</v>
      </c>
      <c r="P29" s="2">
        <f t="shared" si="6"/>
        <v>107.99999999999993</v>
      </c>
      <c r="Q29" s="2">
        <f t="shared" si="7"/>
        <v>0</v>
      </c>
      <c r="R29" s="1">
        <f t="shared" si="8"/>
        <v>61633.439999999951</v>
      </c>
      <c r="S29" s="2">
        <v>0.57352941176470595</v>
      </c>
      <c r="T29" s="2">
        <v>0</v>
      </c>
      <c r="U29" s="2">
        <f t="shared" si="9"/>
        <v>117.00000000000001</v>
      </c>
      <c r="V29" s="2">
        <f t="shared" si="10"/>
        <v>0</v>
      </c>
      <c r="W29" s="1">
        <f t="shared" si="11"/>
        <v>98068.230000000025</v>
      </c>
      <c r="X29" s="2">
        <v>2.9411764705882401E-2</v>
      </c>
      <c r="Y29" s="2">
        <v>0.12254901960784299</v>
      </c>
      <c r="Z29" s="2">
        <v>1.9607843137254902E-2</v>
      </c>
      <c r="AA29" s="2">
        <v>0.37745098039215702</v>
      </c>
      <c r="AB29" s="2">
        <v>6.3725490196078399E-2</v>
      </c>
      <c r="AC29" s="2">
        <v>0.37254901960784298</v>
      </c>
      <c r="AD29" s="2">
        <f t="shared" ref="AD29:AI29" si="165">$F29*X29</f>
        <v>6.0000000000000098</v>
      </c>
      <c r="AE29" s="2">
        <f t="shared" si="165"/>
        <v>24.999999999999972</v>
      </c>
      <c r="AF29" s="2">
        <f t="shared" si="165"/>
        <v>4</v>
      </c>
      <c r="AG29" s="2">
        <f t="shared" si="165"/>
        <v>77.000000000000028</v>
      </c>
      <c r="AH29" s="2">
        <f t="shared" si="165"/>
        <v>12.999999999999993</v>
      </c>
      <c r="AI29" s="2">
        <f t="shared" si="165"/>
        <v>75.999999999999972</v>
      </c>
      <c r="AJ29" s="1">
        <f t="shared" ref="AJ29:AO29" si="166">AD29*AJ$3</f>
        <v>1640.7000000000025</v>
      </c>
      <c r="AK29" s="1">
        <f t="shared" si="166"/>
        <v>8322.4999999999891</v>
      </c>
      <c r="AL29" s="1">
        <f t="shared" si="166"/>
        <v>2092.48</v>
      </c>
      <c r="AM29" s="1">
        <f t="shared" si="166"/>
        <v>43942.360000000015</v>
      </c>
      <c r="AN29" s="1">
        <f t="shared" si="166"/>
        <v>7882.5499999999956</v>
      </c>
      <c r="AO29" s="1">
        <f t="shared" si="166"/>
        <v>60540.07999999998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f t="shared" ref="AV29:BA29" si="167">$I29*AP29</f>
        <v>0</v>
      </c>
      <c r="AW29" s="2">
        <f t="shared" si="167"/>
        <v>0</v>
      </c>
      <c r="AX29" s="2">
        <f t="shared" si="167"/>
        <v>0</v>
      </c>
      <c r="AY29" s="2">
        <f t="shared" si="167"/>
        <v>0</v>
      </c>
      <c r="AZ29" s="2">
        <f t="shared" si="167"/>
        <v>0</v>
      </c>
      <c r="BA29" s="2">
        <f t="shared" si="167"/>
        <v>0</v>
      </c>
      <c r="BB29" s="1">
        <f t="shared" ref="BB29:BG29" si="168">AV29*BB$4</f>
        <v>0</v>
      </c>
      <c r="BC29" s="1">
        <f t="shared" si="168"/>
        <v>0</v>
      </c>
      <c r="BD29" s="1">
        <f t="shared" si="168"/>
        <v>0</v>
      </c>
      <c r="BE29" s="1">
        <f t="shared" si="168"/>
        <v>0</v>
      </c>
      <c r="BF29" s="1">
        <f t="shared" si="168"/>
        <v>0</v>
      </c>
      <c r="BG29" s="1">
        <f t="shared" si="168"/>
        <v>0</v>
      </c>
      <c r="BH29" s="1">
        <f t="shared" si="16"/>
        <v>124420.66999999998</v>
      </c>
      <c r="BI29" s="2">
        <v>0.31609195402298901</v>
      </c>
      <c r="BJ29" s="2">
        <v>0</v>
      </c>
      <c r="BK29" s="2">
        <f t="shared" si="17"/>
        <v>64.482758620689751</v>
      </c>
      <c r="BL29" s="2">
        <f t="shared" si="18"/>
        <v>0</v>
      </c>
      <c r="BM29" s="1">
        <f t="shared" si="19"/>
        <v>44465.375862069035</v>
      </c>
      <c r="BN29" s="2">
        <v>0.20801092398725535</v>
      </c>
      <c r="BO29" s="2">
        <f t="shared" si="20"/>
        <v>42.434228493400092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f t="shared" si="21"/>
        <v>0</v>
      </c>
      <c r="CA29" s="2">
        <f t="shared" si="22"/>
        <v>0</v>
      </c>
      <c r="CB29" s="1">
        <f t="shared" si="23"/>
        <v>58270.68256713701</v>
      </c>
      <c r="CC29" s="2">
        <v>4.9019607843137303E-2</v>
      </c>
      <c r="CD29" s="2">
        <v>0</v>
      </c>
      <c r="CE29" s="2">
        <f t="shared" si="24"/>
        <v>0</v>
      </c>
      <c r="CF29" s="2">
        <f t="shared" si="25"/>
        <v>0</v>
      </c>
      <c r="CG29" s="1">
        <f t="shared" si="26"/>
        <v>0</v>
      </c>
      <c r="CH29" s="2">
        <v>152181.76000000001</v>
      </c>
      <c r="CI29" s="2">
        <v>22395</v>
      </c>
      <c r="CJ29" s="1">
        <f t="shared" si="27"/>
        <v>898620</v>
      </c>
      <c r="CK29" s="2">
        <f t="shared" si="28"/>
        <v>0</v>
      </c>
      <c r="CL29" s="2">
        <v>1410375.6875</v>
      </c>
      <c r="CM29" s="22">
        <v>38369.795599999998</v>
      </c>
      <c r="CN29" s="22">
        <v>22395</v>
      </c>
      <c r="CO29" s="2">
        <f t="shared" si="29"/>
        <v>152181.76000000001</v>
      </c>
      <c r="CP29" s="2">
        <f t="shared" si="30"/>
        <v>1274168.7231000001</v>
      </c>
      <c r="CQ29" s="2">
        <v>193</v>
      </c>
      <c r="CR29" s="2">
        <f t="shared" si="31"/>
        <v>6601.9104823834205</v>
      </c>
      <c r="CS29" s="2">
        <f t="shared" si="32"/>
        <v>6613.1337302034726</v>
      </c>
      <c r="CT29" s="2">
        <f t="shared" si="33"/>
        <v>1349079.2809615084</v>
      </c>
      <c r="CU29" s="2">
        <f t="shared" si="34"/>
        <v>22395</v>
      </c>
      <c r="CV29" s="2">
        <f t="shared" si="35"/>
        <v>152181.76000000001</v>
      </c>
      <c r="CW29" s="2">
        <f t="shared" si="36"/>
        <v>1523656.0409615084</v>
      </c>
      <c r="CX29" s="1">
        <f t="shared" si="37"/>
        <v>20352.882532302407</v>
      </c>
      <c r="CY29" s="1">
        <f t="shared" si="38"/>
        <v>1523656.0409615082</v>
      </c>
      <c r="CZ29" s="2">
        <v>1</v>
      </c>
      <c r="DA29" s="2">
        <f t="shared" si="39"/>
        <v>2452.08</v>
      </c>
      <c r="DB29" s="2">
        <f t="shared" si="40"/>
        <v>5545.5172413793189</v>
      </c>
      <c r="DC29" s="2">
        <f t="shared" si="41"/>
        <v>689.52</v>
      </c>
      <c r="DD29" s="2">
        <f t="shared" si="42"/>
        <v>616.08000000000004</v>
      </c>
      <c r="DE29" s="2">
        <f t="shared" si="43"/>
        <v>1795.2</v>
      </c>
      <c r="DF29" s="2">
        <f t="shared" si="44"/>
        <v>5324.4000000000005</v>
      </c>
      <c r="DG29" s="1">
        <f t="shared" si="45"/>
        <v>16422.797241379321</v>
      </c>
      <c r="DH29" s="1">
        <f t="shared" si="46"/>
        <v>485342.51842920604</v>
      </c>
      <c r="DI29" s="9">
        <v>1</v>
      </c>
      <c r="DJ29" s="23">
        <v>5.36</v>
      </c>
      <c r="DK29" s="24">
        <v>0.43</v>
      </c>
      <c r="DL29" s="24">
        <v>0.21</v>
      </c>
      <c r="DM29" s="24">
        <v>0.45</v>
      </c>
      <c r="DN29" s="24">
        <v>0</v>
      </c>
      <c r="DO29" s="25">
        <v>6.45</v>
      </c>
      <c r="DP29" s="9">
        <v>7362</v>
      </c>
      <c r="DQ29" s="9">
        <v>17400</v>
      </c>
      <c r="DR29" s="9">
        <v>0</v>
      </c>
      <c r="DS29" s="9" t="str">
        <f t="shared" si="47"/>
        <v>7156743</v>
      </c>
      <c r="DT29" s="9">
        <f t="shared" si="48"/>
        <v>48691.02968</v>
      </c>
      <c r="DU29" s="26"/>
      <c r="DV29" s="9"/>
      <c r="DW29" s="9"/>
      <c r="DX29" s="9">
        <v>1503303.1584292061</v>
      </c>
      <c r="DY29" s="9">
        <v>485342.51842920604</v>
      </c>
      <c r="DZ29" s="9">
        <v>1523656.0409615084</v>
      </c>
      <c r="EA29" s="9">
        <v>1523656.0409615084</v>
      </c>
      <c r="EB29" s="9">
        <v>16422.797241379321</v>
      </c>
      <c r="EC29" s="9">
        <v>1507233.2437201291</v>
      </c>
      <c r="ED29" s="9">
        <v>5.36</v>
      </c>
      <c r="EE29" s="9">
        <v>0.43</v>
      </c>
      <c r="EF29" s="9">
        <v>0.21</v>
      </c>
      <c r="EG29" s="9">
        <v>0.45</v>
      </c>
      <c r="EH29" s="9">
        <v>0</v>
      </c>
      <c r="EI29" s="9">
        <v>6.45</v>
      </c>
      <c r="EJ29" s="9">
        <v>0</v>
      </c>
      <c r="EK29" s="9">
        <v>48691.02968</v>
      </c>
      <c r="EL29" s="9">
        <v>17400</v>
      </c>
      <c r="EM29" s="9">
        <v>7362</v>
      </c>
      <c r="EN29" s="9">
        <v>1574715.5188998389</v>
      </c>
      <c r="EO29" s="9">
        <v>1577079.9994123559</v>
      </c>
      <c r="EP29" s="9">
        <f t="shared" si="63"/>
        <v>0</v>
      </c>
      <c r="EQ29" s="9">
        <f t="shared" si="49"/>
        <v>0</v>
      </c>
      <c r="ER29" s="9">
        <f t="shared" si="50"/>
        <v>0</v>
      </c>
      <c r="ES29" s="9">
        <f t="shared" si="51"/>
        <v>0</v>
      </c>
      <c r="ET29" s="9">
        <f t="shared" si="52"/>
        <v>0</v>
      </c>
      <c r="EU29" s="9">
        <f t="shared" si="53"/>
        <v>0</v>
      </c>
      <c r="EV29" s="9">
        <f t="shared" ref="EV29:FA29" si="169">ROUND(ED29-DJ29,0)</f>
        <v>0</v>
      </c>
      <c r="EW29" s="9">
        <f t="shared" si="169"/>
        <v>0</v>
      </c>
      <c r="EX29" s="9">
        <f t="shared" si="169"/>
        <v>0</v>
      </c>
      <c r="EY29" s="9">
        <f t="shared" si="169"/>
        <v>0</v>
      </c>
      <c r="EZ29" s="9">
        <f t="shared" si="169"/>
        <v>0</v>
      </c>
      <c r="FA29" s="9">
        <f t="shared" si="169"/>
        <v>0</v>
      </c>
      <c r="FB29" s="9">
        <f t="shared" si="55"/>
        <v>0</v>
      </c>
      <c r="FC29" s="9">
        <f t="shared" si="56"/>
        <v>0</v>
      </c>
      <c r="FD29" s="9">
        <f t="shared" si="57"/>
        <v>0</v>
      </c>
      <c r="FE29" s="9">
        <f t="shared" si="58"/>
        <v>0</v>
      </c>
      <c r="FF29" s="9"/>
      <c r="FG29" s="9"/>
      <c r="FH29" s="9"/>
      <c r="FI29" s="27"/>
      <c r="FJ29" s="21">
        <v>8580</v>
      </c>
      <c r="FK29" s="28">
        <v>4095</v>
      </c>
      <c r="FL29" s="28">
        <v>5580</v>
      </c>
      <c r="FM29" s="29">
        <v>5130</v>
      </c>
      <c r="FN29" s="28">
        <v>1</v>
      </c>
      <c r="FO29" s="9"/>
    </row>
    <row r="30" spans="1:171">
      <c r="A30" s="2" t="s">
        <v>224</v>
      </c>
      <c r="B30" s="2">
        <v>100251</v>
      </c>
      <c r="C30" s="2">
        <v>2042795</v>
      </c>
      <c r="D30" s="2" t="s">
        <v>225</v>
      </c>
      <c r="E30" s="2">
        <v>211</v>
      </c>
      <c r="F30" s="2">
        <v>211</v>
      </c>
      <c r="G30" s="2">
        <v>26</v>
      </c>
      <c r="H30" s="2">
        <v>185</v>
      </c>
      <c r="I30" s="2">
        <v>0</v>
      </c>
      <c r="J30" s="2">
        <v>0</v>
      </c>
      <c r="K30" s="2">
        <v>0</v>
      </c>
      <c r="L30" s="2">
        <v>0</v>
      </c>
      <c r="M30" s="1">
        <f t="shared" si="5"/>
        <v>974187</v>
      </c>
      <c r="N30" s="2">
        <v>0.45497630331753602</v>
      </c>
      <c r="O30" s="2">
        <v>0</v>
      </c>
      <c r="P30" s="2">
        <f t="shared" si="6"/>
        <v>96.000000000000099</v>
      </c>
      <c r="Q30" s="2">
        <f t="shared" si="7"/>
        <v>0</v>
      </c>
      <c r="R30" s="1">
        <f t="shared" si="8"/>
        <v>54785.28000000005</v>
      </c>
      <c r="S30" s="2">
        <v>0.45971563981042701</v>
      </c>
      <c r="T30" s="2">
        <v>0</v>
      </c>
      <c r="U30" s="2">
        <f t="shared" si="9"/>
        <v>97.000000000000099</v>
      </c>
      <c r="V30" s="2">
        <f t="shared" si="10"/>
        <v>0</v>
      </c>
      <c r="W30" s="1">
        <f t="shared" si="11"/>
        <v>81304.430000000095</v>
      </c>
      <c r="X30" s="2">
        <v>0.11848341232227499</v>
      </c>
      <c r="Y30" s="2">
        <v>0.13270142180094799</v>
      </c>
      <c r="Z30" s="2">
        <v>8.5308056872037893E-2</v>
      </c>
      <c r="AA30" s="2">
        <v>4.7393364928909901E-2</v>
      </c>
      <c r="AB30" s="2">
        <v>0.21327014218009499</v>
      </c>
      <c r="AC30" s="2">
        <v>9.0047393364928896E-2</v>
      </c>
      <c r="AD30" s="2">
        <f t="shared" ref="AD30:AI30" si="170">$F30*X30</f>
        <v>25.000000000000025</v>
      </c>
      <c r="AE30" s="2">
        <f t="shared" si="170"/>
        <v>28.000000000000025</v>
      </c>
      <c r="AF30" s="2">
        <f t="shared" si="170"/>
        <v>17.999999999999996</v>
      </c>
      <c r="AG30" s="2">
        <f t="shared" si="170"/>
        <v>9.9999999999999893</v>
      </c>
      <c r="AH30" s="2">
        <f t="shared" si="170"/>
        <v>45.000000000000043</v>
      </c>
      <c r="AI30" s="2">
        <f t="shared" si="170"/>
        <v>18.999999999999996</v>
      </c>
      <c r="AJ30" s="1">
        <f t="shared" ref="AJ30:AO30" si="171">AD30*AJ$3</f>
        <v>6836.2500000000064</v>
      </c>
      <c r="AK30" s="1">
        <f t="shared" si="171"/>
        <v>9321.200000000008</v>
      </c>
      <c r="AL30" s="1">
        <f t="shared" si="171"/>
        <v>9416.159999999998</v>
      </c>
      <c r="AM30" s="1">
        <f t="shared" si="171"/>
        <v>5706.7999999999938</v>
      </c>
      <c r="AN30" s="1">
        <f t="shared" si="171"/>
        <v>27285.750000000025</v>
      </c>
      <c r="AO30" s="1">
        <f t="shared" si="171"/>
        <v>15135.019999999999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f t="shared" ref="AV30:BA30" si="172">$I30*AP30</f>
        <v>0</v>
      </c>
      <c r="AW30" s="2">
        <f t="shared" si="172"/>
        <v>0</v>
      </c>
      <c r="AX30" s="2">
        <f t="shared" si="172"/>
        <v>0</v>
      </c>
      <c r="AY30" s="2">
        <f t="shared" si="172"/>
        <v>0</v>
      </c>
      <c r="AZ30" s="2">
        <f t="shared" si="172"/>
        <v>0</v>
      </c>
      <c r="BA30" s="2">
        <f t="shared" si="172"/>
        <v>0</v>
      </c>
      <c r="BB30" s="1">
        <f t="shared" ref="BB30:BG30" si="173">AV30*BB$4</f>
        <v>0</v>
      </c>
      <c r="BC30" s="1">
        <f t="shared" si="173"/>
        <v>0</v>
      </c>
      <c r="BD30" s="1">
        <f t="shared" si="173"/>
        <v>0</v>
      </c>
      <c r="BE30" s="1">
        <f t="shared" si="173"/>
        <v>0</v>
      </c>
      <c r="BF30" s="1">
        <f t="shared" si="173"/>
        <v>0</v>
      </c>
      <c r="BG30" s="1">
        <f t="shared" si="173"/>
        <v>0</v>
      </c>
      <c r="BH30" s="1">
        <f t="shared" si="16"/>
        <v>73701.180000000037</v>
      </c>
      <c r="BI30" s="2">
        <v>0.29729729729729698</v>
      </c>
      <c r="BJ30" s="2">
        <v>0</v>
      </c>
      <c r="BK30" s="2">
        <f t="shared" si="17"/>
        <v>62.729729729729662</v>
      </c>
      <c r="BL30" s="2">
        <f t="shared" si="18"/>
        <v>0</v>
      </c>
      <c r="BM30" s="1">
        <f t="shared" si="19"/>
        <v>43256.539729729688</v>
      </c>
      <c r="BN30" s="2">
        <v>0.38299137674695227</v>
      </c>
      <c r="BO30" s="2">
        <f t="shared" si="20"/>
        <v>80.811180493606926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f t="shared" si="21"/>
        <v>0</v>
      </c>
      <c r="CA30" s="2">
        <f t="shared" si="22"/>
        <v>0</v>
      </c>
      <c r="CB30" s="1">
        <f t="shared" si="23"/>
        <v>110969.91305382103</v>
      </c>
      <c r="CC30" s="2">
        <v>6.1611374407582901E-2</v>
      </c>
      <c r="CD30" s="2">
        <v>0</v>
      </c>
      <c r="CE30" s="2">
        <f t="shared" si="24"/>
        <v>0.3399999999999927</v>
      </c>
      <c r="CF30" s="2">
        <f t="shared" si="25"/>
        <v>0</v>
      </c>
      <c r="CG30" s="1">
        <f t="shared" si="26"/>
        <v>382.00019999999176</v>
      </c>
      <c r="CH30" s="2">
        <v>152181.76000000001</v>
      </c>
      <c r="CI30" s="2">
        <v>31857</v>
      </c>
      <c r="CJ30" s="1">
        <f t="shared" si="27"/>
        <v>929455</v>
      </c>
      <c r="CK30" s="2">
        <f t="shared" si="28"/>
        <v>0</v>
      </c>
      <c r="CL30" s="2">
        <v>1813812.5898</v>
      </c>
      <c r="CM30" s="22">
        <v>45977.088600000003</v>
      </c>
      <c r="CN30" s="22">
        <v>31857</v>
      </c>
      <c r="CO30" s="2">
        <f t="shared" si="29"/>
        <v>152181.76000000001</v>
      </c>
      <c r="CP30" s="2">
        <f t="shared" si="30"/>
        <v>1675750.9183999998</v>
      </c>
      <c r="CQ30" s="2">
        <v>267</v>
      </c>
      <c r="CR30" s="2">
        <f t="shared" si="31"/>
        <v>6276.2206681647931</v>
      </c>
      <c r="CS30" s="2">
        <f t="shared" si="32"/>
        <v>6286.8902433006733</v>
      </c>
      <c r="CT30" s="2">
        <f t="shared" si="33"/>
        <v>1326533.8413364422</v>
      </c>
      <c r="CU30" s="2">
        <f t="shared" si="34"/>
        <v>31857</v>
      </c>
      <c r="CV30" s="2">
        <f t="shared" si="35"/>
        <v>152181.76000000001</v>
      </c>
      <c r="CW30" s="2">
        <f t="shared" si="36"/>
        <v>1510572.6013364422</v>
      </c>
      <c r="CX30" s="1">
        <f t="shared" si="37"/>
        <v>0</v>
      </c>
      <c r="CY30" s="1">
        <f t="shared" si="38"/>
        <v>1522625.1029835509</v>
      </c>
      <c r="CZ30" s="2">
        <v>1</v>
      </c>
      <c r="DA30" s="2">
        <f t="shared" si="39"/>
        <v>2536.2199999999998</v>
      </c>
      <c r="DB30" s="2">
        <f t="shared" si="40"/>
        <v>5394.7567567567512</v>
      </c>
      <c r="DC30" s="2">
        <f t="shared" si="41"/>
        <v>713.18</v>
      </c>
      <c r="DD30" s="2">
        <f t="shared" si="42"/>
        <v>637.22</v>
      </c>
      <c r="DE30" s="2">
        <f t="shared" si="43"/>
        <v>1856.8000000000002</v>
      </c>
      <c r="DF30" s="2">
        <f t="shared" si="44"/>
        <v>5507.1</v>
      </c>
      <c r="DG30" s="1">
        <f t="shared" si="45"/>
        <v>16645.27675675675</v>
      </c>
      <c r="DH30" s="1">
        <f t="shared" si="46"/>
        <v>475225.85298355087</v>
      </c>
      <c r="DI30" s="9">
        <v>1</v>
      </c>
      <c r="DJ30" s="23">
        <v>5.36</v>
      </c>
      <c r="DK30" s="24">
        <v>0.32</v>
      </c>
      <c r="DL30" s="24">
        <v>0.15</v>
      </c>
      <c r="DM30" s="24">
        <v>0.45</v>
      </c>
      <c r="DN30" s="24">
        <v>0</v>
      </c>
      <c r="DO30" s="25">
        <v>6.28</v>
      </c>
      <c r="DP30" s="9">
        <v>7633</v>
      </c>
      <c r="DQ30" s="9">
        <v>19824</v>
      </c>
      <c r="DR30" s="9">
        <v>18</v>
      </c>
      <c r="DS30" s="9" t="str">
        <f t="shared" si="47"/>
        <v>7268106</v>
      </c>
      <c r="DT30" s="9">
        <f t="shared" si="48"/>
        <v>47208.446440000014</v>
      </c>
      <c r="DU30" s="26"/>
      <c r="DV30" s="9"/>
      <c r="DW30" s="9"/>
      <c r="DX30" s="9">
        <v>1522625.1029835509</v>
      </c>
      <c r="DY30" s="9">
        <v>475225.85298355081</v>
      </c>
      <c r="DZ30" s="9">
        <v>1510572.6013364422</v>
      </c>
      <c r="EA30" s="9">
        <v>1522625.1029835509</v>
      </c>
      <c r="EB30" s="9">
        <v>16645.27675675675</v>
      </c>
      <c r="EC30" s="9">
        <v>1505979.8262267942</v>
      </c>
      <c r="ED30" s="9">
        <v>5.36</v>
      </c>
      <c r="EE30" s="9">
        <v>0.32</v>
      </c>
      <c r="EF30" s="9">
        <v>0.15</v>
      </c>
      <c r="EG30" s="9">
        <v>0.45</v>
      </c>
      <c r="EH30" s="9">
        <v>0</v>
      </c>
      <c r="EI30" s="9">
        <v>6.28</v>
      </c>
      <c r="EJ30" s="9">
        <v>18</v>
      </c>
      <c r="EK30" s="9">
        <v>47208.446440000014</v>
      </c>
      <c r="EL30" s="9">
        <v>19824</v>
      </c>
      <c r="EM30" s="9">
        <v>7633</v>
      </c>
      <c r="EN30" s="9">
        <v>1572181.6392958111</v>
      </c>
      <c r="EO30" s="9">
        <v>1574525.7268130013</v>
      </c>
      <c r="EP30" s="9">
        <f t="shared" si="63"/>
        <v>0</v>
      </c>
      <c r="EQ30" s="9">
        <f t="shared" si="49"/>
        <v>0</v>
      </c>
      <c r="ER30" s="9">
        <f t="shared" si="50"/>
        <v>0</v>
      </c>
      <c r="ES30" s="9">
        <f t="shared" si="51"/>
        <v>0</v>
      </c>
      <c r="ET30" s="9">
        <f t="shared" si="52"/>
        <v>0</v>
      </c>
      <c r="EU30" s="9">
        <f t="shared" si="53"/>
        <v>0</v>
      </c>
      <c r="EV30" s="9">
        <f t="shared" ref="EV30:FA30" si="174">ROUND(ED30-DJ30,0)</f>
        <v>0</v>
      </c>
      <c r="EW30" s="9">
        <f t="shared" si="174"/>
        <v>0</v>
      </c>
      <c r="EX30" s="9">
        <f t="shared" si="174"/>
        <v>0</v>
      </c>
      <c r="EY30" s="9">
        <f t="shared" si="174"/>
        <v>0</v>
      </c>
      <c r="EZ30" s="9">
        <f t="shared" si="174"/>
        <v>0</v>
      </c>
      <c r="FA30" s="9">
        <f t="shared" si="174"/>
        <v>0</v>
      </c>
      <c r="FB30" s="9">
        <f t="shared" si="55"/>
        <v>0</v>
      </c>
      <c r="FC30" s="9">
        <f t="shared" si="56"/>
        <v>0</v>
      </c>
      <c r="FD30" s="9">
        <f t="shared" si="57"/>
        <v>0</v>
      </c>
      <c r="FE30" s="9">
        <f t="shared" si="58"/>
        <v>0</v>
      </c>
      <c r="FF30" s="9"/>
      <c r="FG30" s="9"/>
      <c r="FH30" s="9"/>
      <c r="FI30" s="27"/>
      <c r="FJ30" s="21">
        <v>4680</v>
      </c>
      <c r="FK30" s="28">
        <v>2535</v>
      </c>
      <c r="FL30" s="28">
        <v>3060</v>
      </c>
      <c r="FM30" s="29">
        <v>1710</v>
      </c>
      <c r="FN30" s="28">
        <v>0</v>
      </c>
      <c r="FO30" s="9"/>
    </row>
    <row r="31" spans="1:171">
      <c r="A31" s="2" t="s">
        <v>226</v>
      </c>
      <c r="B31" s="2">
        <v>100252</v>
      </c>
      <c r="C31" s="2">
        <v>2042856</v>
      </c>
      <c r="D31" s="2" t="s">
        <v>227</v>
      </c>
      <c r="E31" s="2">
        <v>187</v>
      </c>
      <c r="F31" s="2">
        <v>187</v>
      </c>
      <c r="G31" s="2">
        <v>29</v>
      </c>
      <c r="H31" s="2">
        <v>158</v>
      </c>
      <c r="I31" s="2">
        <v>0</v>
      </c>
      <c r="J31" s="2">
        <v>0</v>
      </c>
      <c r="K31" s="2">
        <v>0</v>
      </c>
      <c r="L31" s="2">
        <v>1</v>
      </c>
      <c r="M31" s="1">
        <f t="shared" si="5"/>
        <v>863379</v>
      </c>
      <c r="N31" s="2">
        <v>0.16042780748663099</v>
      </c>
      <c r="O31" s="2">
        <v>0</v>
      </c>
      <c r="P31" s="2">
        <f t="shared" si="6"/>
        <v>29.999999999999996</v>
      </c>
      <c r="Q31" s="2">
        <f t="shared" si="7"/>
        <v>0</v>
      </c>
      <c r="R31" s="1">
        <f t="shared" si="8"/>
        <v>17120.399999999998</v>
      </c>
      <c r="S31" s="2">
        <v>0.17112299465240599</v>
      </c>
      <c r="T31" s="2">
        <v>0</v>
      </c>
      <c r="U31" s="2">
        <f t="shared" si="9"/>
        <v>31.999999999999922</v>
      </c>
      <c r="V31" s="2">
        <f t="shared" si="10"/>
        <v>0</v>
      </c>
      <c r="W31" s="1">
        <f t="shared" si="11"/>
        <v>26822.079999999936</v>
      </c>
      <c r="X31" s="2">
        <v>0.12299465240641699</v>
      </c>
      <c r="Y31" s="2">
        <v>0.10695187165775399</v>
      </c>
      <c r="Z31" s="2">
        <v>2.1390374331550801E-2</v>
      </c>
      <c r="AA31" s="2">
        <v>6.4171122994652399E-2</v>
      </c>
      <c r="AB31" s="2">
        <v>0.17112299465240599</v>
      </c>
      <c r="AC31" s="2">
        <v>0</v>
      </c>
      <c r="AD31" s="2">
        <f t="shared" ref="AD31:AI31" si="175">$F31*X31</f>
        <v>22.999999999999979</v>
      </c>
      <c r="AE31" s="2">
        <f t="shared" si="175"/>
        <v>19.999999999999996</v>
      </c>
      <c r="AF31" s="2">
        <f t="shared" si="175"/>
        <v>3.9999999999999996</v>
      </c>
      <c r="AG31" s="2">
        <f t="shared" si="175"/>
        <v>11.999999999999998</v>
      </c>
      <c r="AH31" s="2">
        <f t="shared" si="175"/>
        <v>31.999999999999922</v>
      </c>
      <c r="AI31" s="2">
        <f t="shared" si="175"/>
        <v>0</v>
      </c>
      <c r="AJ31" s="1">
        <f t="shared" ref="AJ31:AO31" si="176">AD31*AJ$3</f>
        <v>6289.349999999994</v>
      </c>
      <c r="AK31" s="1">
        <f t="shared" si="176"/>
        <v>6657.9999999999982</v>
      </c>
      <c r="AL31" s="1">
        <f t="shared" si="176"/>
        <v>2092.4799999999996</v>
      </c>
      <c r="AM31" s="1">
        <f t="shared" si="176"/>
        <v>6848.159999999998</v>
      </c>
      <c r="AN31" s="1">
        <f t="shared" si="176"/>
        <v>19403.199999999953</v>
      </c>
      <c r="AO31" s="1">
        <f t="shared" si="176"/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f t="shared" ref="AV31:BA31" si="177">$I31*AP31</f>
        <v>0</v>
      </c>
      <c r="AW31" s="2">
        <f t="shared" si="177"/>
        <v>0</v>
      </c>
      <c r="AX31" s="2">
        <f t="shared" si="177"/>
        <v>0</v>
      </c>
      <c r="AY31" s="2">
        <f t="shared" si="177"/>
        <v>0</v>
      </c>
      <c r="AZ31" s="2">
        <f t="shared" si="177"/>
        <v>0</v>
      </c>
      <c r="BA31" s="2">
        <f t="shared" si="177"/>
        <v>0</v>
      </c>
      <c r="BB31" s="1">
        <f t="shared" ref="BB31:BG31" si="178">AV31*BB$4</f>
        <v>0</v>
      </c>
      <c r="BC31" s="1">
        <f t="shared" si="178"/>
        <v>0</v>
      </c>
      <c r="BD31" s="1">
        <f t="shared" si="178"/>
        <v>0</v>
      </c>
      <c r="BE31" s="1">
        <f t="shared" si="178"/>
        <v>0</v>
      </c>
      <c r="BF31" s="1">
        <f t="shared" si="178"/>
        <v>0</v>
      </c>
      <c r="BG31" s="1">
        <f t="shared" si="178"/>
        <v>0</v>
      </c>
      <c r="BH31" s="1">
        <f t="shared" si="16"/>
        <v>41291.189999999944</v>
      </c>
      <c r="BI31" s="2">
        <v>0.170886075949367</v>
      </c>
      <c r="BJ31" s="2">
        <v>0</v>
      </c>
      <c r="BK31" s="2">
        <f t="shared" si="17"/>
        <v>31.95569620253163</v>
      </c>
      <c r="BL31" s="2">
        <f t="shared" si="18"/>
        <v>0</v>
      </c>
      <c r="BM31" s="1">
        <f t="shared" si="19"/>
        <v>22035.689430379738</v>
      </c>
      <c r="BN31" s="2">
        <v>0.2368421052631578</v>
      </c>
      <c r="BO31" s="2">
        <f t="shared" si="20"/>
        <v>44.289473684210506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f t="shared" si="21"/>
        <v>0</v>
      </c>
      <c r="CA31" s="2">
        <f t="shared" si="22"/>
        <v>0</v>
      </c>
      <c r="CB31" s="1">
        <f t="shared" si="23"/>
        <v>60818.305263157868</v>
      </c>
      <c r="CC31" s="2">
        <v>7.4866310160427801E-2</v>
      </c>
      <c r="CD31" s="2">
        <v>0</v>
      </c>
      <c r="CE31" s="2">
        <f t="shared" si="24"/>
        <v>2.7799999999999994</v>
      </c>
      <c r="CF31" s="2">
        <f t="shared" si="25"/>
        <v>0</v>
      </c>
      <c r="CG31" s="1">
        <f t="shared" si="26"/>
        <v>3123.413399999999</v>
      </c>
      <c r="CH31" s="2">
        <v>152181.76000000001</v>
      </c>
      <c r="CI31" s="2">
        <v>21759</v>
      </c>
      <c r="CJ31" s="1">
        <f t="shared" si="27"/>
        <v>823735</v>
      </c>
      <c r="CK31" s="2">
        <f t="shared" si="28"/>
        <v>0</v>
      </c>
      <c r="CL31" s="2">
        <v>1240787.4890999999</v>
      </c>
      <c r="CM31" s="22">
        <v>29123.132699999998</v>
      </c>
      <c r="CN31" s="22">
        <v>21759</v>
      </c>
      <c r="CO31" s="2">
        <f t="shared" si="29"/>
        <v>152181.76000000001</v>
      </c>
      <c r="CP31" s="2">
        <f t="shared" si="30"/>
        <v>1095969.8617999998</v>
      </c>
      <c r="CQ31" s="2">
        <v>188</v>
      </c>
      <c r="CR31" s="2">
        <f t="shared" si="31"/>
        <v>5829.6269244680843</v>
      </c>
      <c r="CS31" s="2">
        <f t="shared" si="32"/>
        <v>5839.5372902396803</v>
      </c>
      <c r="CT31" s="2">
        <f t="shared" si="33"/>
        <v>1091993.4732748203</v>
      </c>
      <c r="CU31" s="2">
        <f t="shared" si="34"/>
        <v>21759</v>
      </c>
      <c r="CV31" s="2">
        <f t="shared" si="35"/>
        <v>152181.76000000001</v>
      </c>
      <c r="CW31" s="2">
        <f t="shared" si="36"/>
        <v>1265934.2332748203</v>
      </c>
      <c r="CX31" s="1">
        <f t="shared" si="37"/>
        <v>57403.395181282744</v>
      </c>
      <c r="CY31" s="1">
        <f t="shared" si="38"/>
        <v>1265934.23327482</v>
      </c>
      <c r="CZ31" s="2">
        <v>1</v>
      </c>
      <c r="DA31" s="2">
        <f t="shared" si="39"/>
        <v>2247.7399999999998</v>
      </c>
      <c r="DB31" s="2">
        <f t="shared" si="40"/>
        <v>2748.1898734177203</v>
      </c>
      <c r="DC31" s="2">
        <f t="shared" si="41"/>
        <v>632.05999999999995</v>
      </c>
      <c r="DD31" s="2">
        <f t="shared" si="42"/>
        <v>564.74</v>
      </c>
      <c r="DE31" s="2">
        <f t="shared" si="43"/>
        <v>1645.6000000000001</v>
      </c>
      <c r="DF31" s="2">
        <f t="shared" si="44"/>
        <v>4880.7</v>
      </c>
      <c r="DG31" s="1">
        <f t="shared" si="45"/>
        <v>12719.02987341772</v>
      </c>
      <c r="DH31" s="1">
        <f t="shared" si="46"/>
        <v>300865.10809353751</v>
      </c>
      <c r="DI31" s="9">
        <v>1</v>
      </c>
      <c r="DJ31" s="23">
        <v>5.36</v>
      </c>
      <c r="DK31" s="24">
        <v>0.22</v>
      </c>
      <c r="DL31" s="24">
        <v>0.11</v>
      </c>
      <c r="DM31" s="24">
        <v>0.45</v>
      </c>
      <c r="DN31" s="24">
        <v>0</v>
      </c>
      <c r="DO31" s="25">
        <v>6.14</v>
      </c>
      <c r="DP31" s="9">
        <v>7342</v>
      </c>
      <c r="DQ31" s="9">
        <v>4640</v>
      </c>
      <c r="DR31" s="9">
        <v>0</v>
      </c>
      <c r="DS31" s="9" t="str">
        <f t="shared" si="47"/>
        <v>7326205</v>
      </c>
      <c r="DT31" s="9">
        <f t="shared" si="48"/>
        <v>35775.791719999994</v>
      </c>
      <c r="DU31" s="26"/>
      <c r="DV31" s="9"/>
      <c r="DW31" s="9"/>
      <c r="DX31" s="9">
        <v>1208530.8380935374</v>
      </c>
      <c r="DY31" s="9">
        <v>300865.10809353756</v>
      </c>
      <c r="DZ31" s="9">
        <v>1265934.2332748203</v>
      </c>
      <c r="EA31" s="9">
        <v>1265934.2332748203</v>
      </c>
      <c r="EB31" s="9">
        <v>12719.02987341772</v>
      </c>
      <c r="EC31" s="9">
        <v>1253215.2034014026</v>
      </c>
      <c r="ED31" s="9">
        <v>5.36</v>
      </c>
      <c r="EE31" s="9">
        <v>0.22</v>
      </c>
      <c r="EF31" s="9">
        <v>0.11</v>
      </c>
      <c r="EG31" s="9">
        <v>0.45</v>
      </c>
      <c r="EH31" s="9">
        <v>0</v>
      </c>
      <c r="EI31" s="9">
        <v>6.14</v>
      </c>
      <c r="EJ31" s="9">
        <v>0</v>
      </c>
      <c r="EK31" s="9">
        <v>35775.791719999994</v>
      </c>
      <c r="EL31" s="9">
        <v>4640</v>
      </c>
      <c r="EM31" s="9">
        <v>7342</v>
      </c>
      <c r="EN31" s="9">
        <v>1303619.4714755516</v>
      </c>
      <c r="EO31" s="9">
        <v>1305524.1699074472</v>
      </c>
      <c r="EP31" s="9">
        <f t="shared" si="63"/>
        <v>0</v>
      </c>
      <c r="EQ31" s="9">
        <f t="shared" si="49"/>
        <v>0</v>
      </c>
      <c r="ER31" s="9">
        <f t="shared" si="50"/>
        <v>0</v>
      </c>
      <c r="ES31" s="9">
        <f t="shared" si="51"/>
        <v>0</v>
      </c>
      <c r="ET31" s="9">
        <f t="shared" si="52"/>
        <v>0</v>
      </c>
      <c r="EU31" s="9">
        <f t="shared" si="53"/>
        <v>0</v>
      </c>
      <c r="EV31" s="9">
        <f t="shared" ref="EV31:FA31" si="179">ROUND(ED31-DJ31,0)</f>
        <v>0</v>
      </c>
      <c r="EW31" s="9">
        <f t="shared" si="179"/>
        <v>0</v>
      </c>
      <c r="EX31" s="9">
        <f t="shared" si="179"/>
        <v>0</v>
      </c>
      <c r="EY31" s="9">
        <f t="shared" si="179"/>
        <v>0</v>
      </c>
      <c r="EZ31" s="9">
        <f t="shared" si="179"/>
        <v>0</v>
      </c>
      <c r="FA31" s="9">
        <f t="shared" si="179"/>
        <v>0</v>
      </c>
      <c r="FB31" s="9">
        <f t="shared" si="55"/>
        <v>0</v>
      </c>
      <c r="FC31" s="9">
        <f t="shared" si="56"/>
        <v>0</v>
      </c>
      <c r="FD31" s="9">
        <f t="shared" si="57"/>
        <v>0</v>
      </c>
      <c r="FE31" s="9">
        <f t="shared" si="58"/>
        <v>0</v>
      </c>
      <c r="FF31" s="9"/>
      <c r="FG31" s="9"/>
      <c r="FH31" s="9"/>
      <c r="FI31" s="27"/>
      <c r="FJ31" s="21">
        <v>5070</v>
      </c>
      <c r="FK31" s="28">
        <v>3900</v>
      </c>
      <c r="FL31" s="28">
        <v>4860</v>
      </c>
      <c r="FM31" s="29">
        <v>1710</v>
      </c>
      <c r="FN31" s="28">
        <v>0</v>
      </c>
      <c r="FO31" s="9"/>
    </row>
    <row r="32" spans="1:171">
      <c r="A32" s="2" t="s">
        <v>228</v>
      </c>
      <c r="B32" s="2">
        <v>100253</v>
      </c>
      <c r="C32" s="2">
        <v>2042859</v>
      </c>
      <c r="D32" s="2" t="s">
        <v>229</v>
      </c>
      <c r="E32" s="2">
        <v>399</v>
      </c>
      <c r="F32" s="2">
        <v>399</v>
      </c>
      <c r="G32" s="2">
        <v>60</v>
      </c>
      <c r="H32" s="2">
        <v>339</v>
      </c>
      <c r="I32" s="2">
        <v>0</v>
      </c>
      <c r="J32" s="2">
        <v>0</v>
      </c>
      <c r="K32" s="2">
        <v>0</v>
      </c>
      <c r="L32" s="2">
        <v>0</v>
      </c>
      <c r="M32" s="1">
        <f t="shared" si="5"/>
        <v>1842183</v>
      </c>
      <c r="N32" s="2">
        <v>0.22556390977443599</v>
      </c>
      <c r="O32" s="2">
        <v>0</v>
      </c>
      <c r="P32" s="2">
        <f t="shared" si="6"/>
        <v>89.999999999999957</v>
      </c>
      <c r="Q32" s="2">
        <f t="shared" si="7"/>
        <v>0</v>
      </c>
      <c r="R32" s="1">
        <f t="shared" si="8"/>
        <v>51361.199999999968</v>
      </c>
      <c r="S32" s="2">
        <v>0.238095238095238</v>
      </c>
      <c r="T32" s="2">
        <v>0</v>
      </c>
      <c r="U32" s="2">
        <f t="shared" si="9"/>
        <v>94.999999999999957</v>
      </c>
      <c r="V32" s="2">
        <f t="shared" si="10"/>
        <v>0</v>
      </c>
      <c r="W32" s="1">
        <f t="shared" si="11"/>
        <v>79628.049999999974</v>
      </c>
      <c r="X32" s="2">
        <v>0.220551378446115</v>
      </c>
      <c r="Y32" s="2">
        <v>0.25313283208019999</v>
      </c>
      <c r="Z32" s="2">
        <v>0.12280701754386</v>
      </c>
      <c r="AA32" s="2">
        <v>4.7619047619047603E-2</v>
      </c>
      <c r="AB32" s="2">
        <v>2.00501253132832E-2</v>
      </c>
      <c r="AC32" s="2">
        <v>0</v>
      </c>
      <c r="AD32" s="2">
        <f t="shared" ref="AD32:AI32" si="180">$F32*X32</f>
        <v>87.999999999999886</v>
      </c>
      <c r="AE32" s="2">
        <f t="shared" si="180"/>
        <v>100.9999999999998</v>
      </c>
      <c r="AF32" s="2">
        <f t="shared" si="180"/>
        <v>49.000000000000142</v>
      </c>
      <c r="AG32" s="2">
        <f t="shared" si="180"/>
        <v>18.999999999999993</v>
      </c>
      <c r="AH32" s="2">
        <f t="shared" si="180"/>
        <v>7.9999999999999964</v>
      </c>
      <c r="AI32" s="2">
        <f t="shared" si="180"/>
        <v>0</v>
      </c>
      <c r="AJ32" s="1">
        <f t="shared" ref="AJ32:AO32" si="181">AD32*AJ$3</f>
        <v>24063.599999999969</v>
      </c>
      <c r="AK32" s="1">
        <f t="shared" si="181"/>
        <v>33622.899999999929</v>
      </c>
      <c r="AL32" s="1">
        <f t="shared" si="181"/>
        <v>25632.880000000074</v>
      </c>
      <c r="AM32" s="1">
        <f t="shared" si="181"/>
        <v>10842.919999999995</v>
      </c>
      <c r="AN32" s="1">
        <f t="shared" si="181"/>
        <v>4850.7999999999984</v>
      </c>
      <c r="AO32" s="1">
        <f t="shared" si="181"/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f t="shared" ref="AV32:BA32" si="182">$I32*AP32</f>
        <v>0</v>
      </c>
      <c r="AW32" s="2">
        <f t="shared" si="182"/>
        <v>0</v>
      </c>
      <c r="AX32" s="2">
        <f t="shared" si="182"/>
        <v>0</v>
      </c>
      <c r="AY32" s="2">
        <f t="shared" si="182"/>
        <v>0</v>
      </c>
      <c r="AZ32" s="2">
        <f t="shared" si="182"/>
        <v>0</v>
      </c>
      <c r="BA32" s="2">
        <f t="shared" si="182"/>
        <v>0</v>
      </c>
      <c r="BB32" s="1">
        <f t="shared" ref="BB32:BG32" si="183">AV32*BB$4</f>
        <v>0</v>
      </c>
      <c r="BC32" s="1">
        <f t="shared" si="183"/>
        <v>0</v>
      </c>
      <c r="BD32" s="1">
        <f t="shared" si="183"/>
        <v>0</v>
      </c>
      <c r="BE32" s="1">
        <f t="shared" si="183"/>
        <v>0</v>
      </c>
      <c r="BF32" s="1">
        <f t="shared" si="183"/>
        <v>0</v>
      </c>
      <c r="BG32" s="1">
        <f t="shared" si="183"/>
        <v>0</v>
      </c>
      <c r="BH32" s="1">
        <f t="shared" si="16"/>
        <v>99013.099999999977</v>
      </c>
      <c r="BI32" s="2">
        <v>0.21301775147929</v>
      </c>
      <c r="BJ32" s="2">
        <v>0</v>
      </c>
      <c r="BK32" s="2">
        <f t="shared" si="17"/>
        <v>84.994082840236715</v>
      </c>
      <c r="BL32" s="2">
        <f t="shared" si="18"/>
        <v>0</v>
      </c>
      <c r="BM32" s="1">
        <f t="shared" si="19"/>
        <v>58609.369704142038</v>
      </c>
      <c r="BN32" s="2">
        <v>0.26785714285714318</v>
      </c>
      <c r="BO32" s="2">
        <f t="shared" si="20"/>
        <v>106.87500000000013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f t="shared" si="21"/>
        <v>0</v>
      </c>
      <c r="CA32" s="2">
        <f t="shared" si="22"/>
        <v>0</v>
      </c>
      <c r="CB32" s="1">
        <f t="shared" si="23"/>
        <v>146760.75000000017</v>
      </c>
      <c r="CC32" s="2">
        <v>7.2681704260651597E-2</v>
      </c>
      <c r="CD32" s="2">
        <v>0</v>
      </c>
      <c r="CE32" s="2">
        <f t="shared" si="24"/>
        <v>5.0599999999999881</v>
      </c>
      <c r="CF32" s="2">
        <f t="shared" si="25"/>
        <v>0</v>
      </c>
      <c r="CG32" s="1">
        <f t="shared" si="26"/>
        <v>5685.0617999999868</v>
      </c>
      <c r="CH32" s="2">
        <v>152181.76000000001</v>
      </c>
      <c r="CI32" s="2">
        <v>45853</v>
      </c>
      <c r="CJ32" s="1">
        <f t="shared" si="27"/>
        <v>1757595</v>
      </c>
      <c r="CK32" s="2">
        <f t="shared" si="28"/>
        <v>0</v>
      </c>
      <c r="CL32" s="2">
        <v>2450331.6264</v>
      </c>
      <c r="CM32" s="22">
        <v>58573.664900000003</v>
      </c>
      <c r="CN32" s="22">
        <v>45853</v>
      </c>
      <c r="CO32" s="2">
        <f t="shared" si="29"/>
        <v>152181.76000000001</v>
      </c>
      <c r="CP32" s="2">
        <f t="shared" si="30"/>
        <v>2310870.5312999999</v>
      </c>
      <c r="CQ32" s="2">
        <v>394</v>
      </c>
      <c r="CR32" s="2">
        <f t="shared" si="31"/>
        <v>5865.1536327411168</v>
      </c>
      <c r="CS32" s="2">
        <f t="shared" si="32"/>
        <v>5875.1243939167771</v>
      </c>
      <c r="CT32" s="2">
        <f t="shared" si="33"/>
        <v>2344174.6331727942</v>
      </c>
      <c r="CU32" s="2">
        <f t="shared" si="34"/>
        <v>45853</v>
      </c>
      <c r="CV32" s="2">
        <f t="shared" si="35"/>
        <v>152181.76000000001</v>
      </c>
      <c r="CW32" s="2">
        <f t="shared" si="36"/>
        <v>2542209.393172794</v>
      </c>
      <c r="CX32" s="1">
        <f t="shared" si="37"/>
        <v>60934.101668651943</v>
      </c>
      <c r="CY32" s="1">
        <f t="shared" si="38"/>
        <v>2542209.393172794</v>
      </c>
      <c r="CZ32" s="2">
        <v>1</v>
      </c>
      <c r="DA32" s="2">
        <f t="shared" si="39"/>
        <v>4795.9799999999996</v>
      </c>
      <c r="DB32" s="2">
        <f t="shared" si="40"/>
        <v>7309.4911242603575</v>
      </c>
      <c r="DC32" s="2">
        <f t="shared" si="41"/>
        <v>1348.62</v>
      </c>
      <c r="DD32" s="2">
        <f t="shared" si="42"/>
        <v>1204.98</v>
      </c>
      <c r="DE32" s="2">
        <f t="shared" si="43"/>
        <v>3511.2000000000003</v>
      </c>
      <c r="DF32" s="2">
        <f t="shared" si="44"/>
        <v>10413.900000000001</v>
      </c>
      <c r="DG32" s="1">
        <f t="shared" si="45"/>
        <v>28584.17112426036</v>
      </c>
      <c r="DH32" s="1">
        <f t="shared" si="46"/>
        <v>702867.44150414225</v>
      </c>
      <c r="DI32" s="9">
        <v>1</v>
      </c>
      <c r="DJ32" s="23">
        <v>5.36</v>
      </c>
      <c r="DK32" s="24">
        <v>0.13</v>
      </c>
      <c r="DL32" s="24">
        <v>0.11</v>
      </c>
      <c r="DM32" s="24">
        <v>0.45</v>
      </c>
      <c r="DN32" s="24">
        <v>0</v>
      </c>
      <c r="DO32" s="25">
        <v>6.05</v>
      </c>
      <c r="DP32" s="9">
        <v>8067</v>
      </c>
      <c r="DQ32" s="9">
        <v>13050</v>
      </c>
      <c r="DR32" s="9">
        <v>0</v>
      </c>
      <c r="DS32" s="9" t="str">
        <f t="shared" si="47"/>
        <v>7289366</v>
      </c>
      <c r="DT32" s="9">
        <f t="shared" si="48"/>
        <v>73559.669320000001</v>
      </c>
      <c r="DU32" s="26"/>
      <c r="DV32" s="9"/>
      <c r="DW32" s="9"/>
      <c r="DX32" s="9">
        <v>2481275.2915041419</v>
      </c>
      <c r="DY32" s="9">
        <v>702867.44150414225</v>
      </c>
      <c r="DZ32" s="9">
        <v>2542209.393172794</v>
      </c>
      <c r="EA32" s="9">
        <v>2542209.393172794</v>
      </c>
      <c r="EB32" s="9">
        <v>28584.17112426036</v>
      </c>
      <c r="EC32" s="9">
        <v>2513625.2220485336</v>
      </c>
      <c r="ED32" s="9">
        <v>5.36</v>
      </c>
      <c r="EE32" s="9">
        <v>0.13</v>
      </c>
      <c r="EF32" s="9">
        <v>0.11</v>
      </c>
      <c r="EG32" s="9">
        <v>0.45</v>
      </c>
      <c r="EH32" s="9">
        <v>0</v>
      </c>
      <c r="EI32" s="9">
        <v>6.05</v>
      </c>
      <c r="EJ32" s="9">
        <v>0</v>
      </c>
      <c r="EK32" s="9">
        <v>73559.669320000001</v>
      </c>
      <c r="EL32" s="9">
        <v>13050</v>
      </c>
      <c r="EM32" s="9">
        <v>8067</v>
      </c>
      <c r="EN32" s="9">
        <v>2619871.4495372721</v>
      </c>
      <c r="EO32" s="9">
        <v>2623972.8165318728</v>
      </c>
      <c r="EP32" s="9">
        <f t="shared" si="63"/>
        <v>0</v>
      </c>
      <c r="EQ32" s="9">
        <f t="shared" si="49"/>
        <v>0</v>
      </c>
      <c r="ER32" s="9">
        <f t="shared" si="50"/>
        <v>0</v>
      </c>
      <c r="ES32" s="9">
        <f t="shared" si="51"/>
        <v>0</v>
      </c>
      <c r="ET32" s="9">
        <f t="shared" si="52"/>
        <v>0</v>
      </c>
      <c r="EU32" s="9">
        <f t="shared" si="53"/>
        <v>0</v>
      </c>
      <c r="EV32" s="9">
        <f t="shared" ref="EV32:FA32" si="184">ROUND(ED32-DJ32,0)</f>
        <v>0</v>
      </c>
      <c r="EW32" s="9">
        <f t="shared" si="184"/>
        <v>0</v>
      </c>
      <c r="EX32" s="9">
        <f t="shared" si="184"/>
        <v>0</v>
      </c>
      <c r="EY32" s="9">
        <f t="shared" si="184"/>
        <v>0</v>
      </c>
      <c r="EZ32" s="9">
        <f t="shared" si="184"/>
        <v>0</v>
      </c>
      <c r="FA32" s="9">
        <f t="shared" si="184"/>
        <v>0</v>
      </c>
      <c r="FB32" s="9">
        <f t="shared" si="55"/>
        <v>0</v>
      </c>
      <c r="FC32" s="9">
        <f t="shared" si="56"/>
        <v>0</v>
      </c>
      <c r="FD32" s="9">
        <f t="shared" si="57"/>
        <v>0</v>
      </c>
      <c r="FE32" s="9">
        <f t="shared" si="58"/>
        <v>0</v>
      </c>
      <c r="FF32" s="9"/>
      <c r="FG32" s="9"/>
      <c r="FH32" s="9"/>
      <c r="FI32" s="27"/>
      <c r="FJ32" s="21">
        <v>8970</v>
      </c>
      <c r="FK32" s="28">
        <v>7020</v>
      </c>
      <c r="FL32" s="28">
        <v>7920</v>
      </c>
      <c r="FM32" s="29">
        <v>2280</v>
      </c>
      <c r="FN32" s="28">
        <v>0</v>
      </c>
      <c r="FO32" s="9"/>
    </row>
    <row r="33" spans="1:171">
      <c r="A33" s="2" t="s">
        <v>230</v>
      </c>
      <c r="B33" s="2">
        <v>100254</v>
      </c>
      <c r="C33" s="2">
        <v>2042860</v>
      </c>
      <c r="D33" s="2" t="s">
        <v>231</v>
      </c>
      <c r="E33" s="2">
        <v>196</v>
      </c>
      <c r="F33" s="2">
        <v>196</v>
      </c>
      <c r="G33" s="2">
        <v>29</v>
      </c>
      <c r="H33" s="2">
        <v>167</v>
      </c>
      <c r="I33" s="2">
        <v>0</v>
      </c>
      <c r="J33" s="2">
        <v>0</v>
      </c>
      <c r="K33" s="2">
        <v>0</v>
      </c>
      <c r="L33" s="2">
        <v>0</v>
      </c>
      <c r="M33" s="1">
        <f t="shared" si="5"/>
        <v>904932</v>
      </c>
      <c r="N33" s="2">
        <v>0.42857142857142899</v>
      </c>
      <c r="O33" s="2">
        <v>0</v>
      </c>
      <c r="P33" s="2">
        <f t="shared" si="6"/>
        <v>84.000000000000085</v>
      </c>
      <c r="Q33" s="2">
        <f t="shared" si="7"/>
        <v>0</v>
      </c>
      <c r="R33" s="1">
        <f t="shared" si="8"/>
        <v>47937.120000000046</v>
      </c>
      <c r="S33" s="2">
        <v>0.43367346938775497</v>
      </c>
      <c r="T33" s="2">
        <v>0</v>
      </c>
      <c r="U33" s="2">
        <f t="shared" si="9"/>
        <v>84.999999999999972</v>
      </c>
      <c r="V33" s="2">
        <f t="shared" si="10"/>
        <v>0</v>
      </c>
      <c r="W33" s="1">
        <f t="shared" si="11"/>
        <v>71246.14999999998</v>
      </c>
      <c r="X33" s="2">
        <v>0.107692307692308</v>
      </c>
      <c r="Y33" s="2">
        <v>0.256410256410256</v>
      </c>
      <c r="Z33" s="2">
        <v>0.16923076923076899</v>
      </c>
      <c r="AA33" s="2">
        <v>0.35384615384615398</v>
      </c>
      <c r="AB33" s="2">
        <v>6.15384615384615E-2</v>
      </c>
      <c r="AC33" s="2">
        <v>1.5384615384615399E-2</v>
      </c>
      <c r="AD33" s="2">
        <f t="shared" ref="AD33:AI33" si="185">$F33*X33</f>
        <v>21.107692307692368</v>
      </c>
      <c r="AE33" s="2">
        <f t="shared" si="185"/>
        <v>50.256410256410177</v>
      </c>
      <c r="AF33" s="2">
        <f t="shared" si="185"/>
        <v>33.169230769230722</v>
      </c>
      <c r="AG33" s="2">
        <f t="shared" si="185"/>
        <v>69.353846153846177</v>
      </c>
      <c r="AH33" s="2">
        <f t="shared" si="185"/>
        <v>12.061538461538454</v>
      </c>
      <c r="AI33" s="2">
        <f t="shared" si="185"/>
        <v>3.0153846153846184</v>
      </c>
      <c r="AJ33" s="1">
        <f t="shared" ref="AJ33:AO33" si="186">AD33*AJ$3</f>
        <v>5771.8984615384779</v>
      </c>
      <c r="AK33" s="1">
        <f t="shared" si="186"/>
        <v>16730.358974358947</v>
      </c>
      <c r="AL33" s="1">
        <f t="shared" si="186"/>
        <v>17351.487999999976</v>
      </c>
      <c r="AM33" s="1">
        <f t="shared" si="186"/>
        <v>39578.852923076935</v>
      </c>
      <c r="AN33" s="1">
        <f t="shared" si="186"/>
        <v>7313.5138461538418</v>
      </c>
      <c r="AO33" s="1">
        <f t="shared" si="186"/>
        <v>2401.9950769230795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f t="shared" ref="AV33:BA33" si="187">$I33*AP33</f>
        <v>0</v>
      </c>
      <c r="AW33" s="2">
        <f t="shared" si="187"/>
        <v>0</v>
      </c>
      <c r="AX33" s="2">
        <f t="shared" si="187"/>
        <v>0</v>
      </c>
      <c r="AY33" s="2">
        <f t="shared" si="187"/>
        <v>0</v>
      </c>
      <c r="AZ33" s="2">
        <f t="shared" si="187"/>
        <v>0</v>
      </c>
      <c r="BA33" s="2">
        <f t="shared" si="187"/>
        <v>0</v>
      </c>
      <c r="BB33" s="1">
        <f t="shared" ref="BB33:BG33" si="188">AV33*BB$4</f>
        <v>0</v>
      </c>
      <c r="BC33" s="1">
        <f t="shared" si="188"/>
        <v>0</v>
      </c>
      <c r="BD33" s="1">
        <f t="shared" si="188"/>
        <v>0</v>
      </c>
      <c r="BE33" s="1">
        <f t="shared" si="188"/>
        <v>0</v>
      </c>
      <c r="BF33" s="1">
        <f t="shared" si="188"/>
        <v>0</v>
      </c>
      <c r="BG33" s="1">
        <f t="shared" si="188"/>
        <v>0</v>
      </c>
      <c r="BH33" s="1">
        <f t="shared" si="16"/>
        <v>89148.107282051249</v>
      </c>
      <c r="BI33" s="2">
        <v>0.215568862275449</v>
      </c>
      <c r="BJ33" s="2">
        <v>0</v>
      </c>
      <c r="BK33" s="2">
        <f t="shared" si="17"/>
        <v>42.251497005988</v>
      </c>
      <c r="BL33" s="2">
        <f t="shared" si="18"/>
        <v>0</v>
      </c>
      <c r="BM33" s="1">
        <f t="shared" si="19"/>
        <v>29135.364790419146</v>
      </c>
      <c r="BN33" s="2">
        <v>0.28550000000000009</v>
      </c>
      <c r="BO33" s="2">
        <f t="shared" si="20"/>
        <v>55.95800000000002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f t="shared" si="21"/>
        <v>0</v>
      </c>
      <c r="CA33" s="2">
        <f t="shared" si="22"/>
        <v>0</v>
      </c>
      <c r="CB33" s="1">
        <f t="shared" si="23"/>
        <v>76841.525600000023</v>
      </c>
      <c r="CC33" s="2">
        <v>0.107142857142857</v>
      </c>
      <c r="CD33" s="2">
        <v>0</v>
      </c>
      <c r="CE33" s="2">
        <f t="shared" si="24"/>
        <v>9.2399999999999718</v>
      </c>
      <c r="CF33" s="2">
        <f t="shared" si="25"/>
        <v>0</v>
      </c>
      <c r="CG33" s="1">
        <f t="shared" si="26"/>
        <v>10381.417199999969</v>
      </c>
      <c r="CH33" s="2">
        <v>152181.76000000001</v>
      </c>
      <c r="CI33" s="2">
        <v>107985</v>
      </c>
      <c r="CJ33" s="1">
        <f t="shared" si="27"/>
        <v>863380</v>
      </c>
      <c r="CK33" s="2">
        <f t="shared" si="28"/>
        <v>0</v>
      </c>
      <c r="CL33" s="2">
        <v>1446872.8478000001</v>
      </c>
      <c r="CM33" s="22">
        <v>35171.719499999999</v>
      </c>
      <c r="CN33" s="22">
        <v>107985</v>
      </c>
      <c r="CO33" s="2">
        <f t="shared" si="29"/>
        <v>152181.76000000001</v>
      </c>
      <c r="CP33" s="2">
        <f t="shared" si="30"/>
        <v>1221877.8073</v>
      </c>
      <c r="CQ33" s="2">
        <v>195</v>
      </c>
      <c r="CR33" s="2">
        <f t="shared" si="31"/>
        <v>6266.0400374358969</v>
      </c>
      <c r="CS33" s="2">
        <f t="shared" si="32"/>
        <v>6276.6923054995377</v>
      </c>
      <c r="CT33" s="2">
        <f t="shared" si="33"/>
        <v>1230231.6918779095</v>
      </c>
      <c r="CU33" s="2">
        <f t="shared" si="34"/>
        <v>107985</v>
      </c>
      <c r="CV33" s="2">
        <f t="shared" si="35"/>
        <v>152181.76000000001</v>
      </c>
      <c r="CW33" s="2">
        <f t="shared" si="36"/>
        <v>1490398.4518779095</v>
      </c>
      <c r="CX33" s="1">
        <f t="shared" si="37"/>
        <v>610.00700543908169</v>
      </c>
      <c r="CY33" s="1">
        <f t="shared" si="38"/>
        <v>1490398.4518779097</v>
      </c>
      <c r="CZ33" s="2">
        <v>1</v>
      </c>
      <c r="DA33" s="2">
        <f t="shared" si="39"/>
        <v>2355.92</v>
      </c>
      <c r="DB33" s="2">
        <f t="shared" si="40"/>
        <v>3633.6287425149681</v>
      </c>
      <c r="DC33" s="2">
        <f t="shared" si="41"/>
        <v>662.48</v>
      </c>
      <c r="DD33" s="2">
        <f t="shared" si="42"/>
        <v>591.91999999999996</v>
      </c>
      <c r="DE33" s="2">
        <f t="shared" si="43"/>
        <v>1724.8000000000002</v>
      </c>
      <c r="DF33" s="2">
        <f t="shared" si="44"/>
        <v>5115.6000000000004</v>
      </c>
      <c r="DG33" s="1">
        <f t="shared" si="45"/>
        <v>14084.348742514967</v>
      </c>
      <c r="DH33" s="1">
        <f t="shared" si="46"/>
        <v>430591.00487247034</v>
      </c>
      <c r="DI33" s="9">
        <v>1</v>
      </c>
      <c r="DJ33" s="23">
        <v>5.36</v>
      </c>
      <c r="DK33" s="24">
        <v>0.47</v>
      </c>
      <c r="DL33" s="24">
        <v>0.15</v>
      </c>
      <c r="DM33" s="24">
        <v>0.45</v>
      </c>
      <c r="DN33" s="24">
        <v>0</v>
      </c>
      <c r="DO33" s="25">
        <v>6.43</v>
      </c>
      <c r="DP33" s="9">
        <v>7342</v>
      </c>
      <c r="DQ33" s="9">
        <v>12035</v>
      </c>
      <c r="DR33" s="9">
        <v>0</v>
      </c>
      <c r="DS33" s="9" t="str">
        <f t="shared" si="47"/>
        <v>8159138</v>
      </c>
      <c r="DT33" s="9">
        <f t="shared" si="48"/>
        <v>43602.452080000003</v>
      </c>
      <c r="DU33" s="26"/>
      <c r="DV33" s="9"/>
      <c r="DW33" s="9"/>
      <c r="DX33" s="9">
        <v>1489788.4448724706</v>
      </c>
      <c r="DY33" s="9">
        <v>430591.00487247045</v>
      </c>
      <c r="DZ33" s="9">
        <v>1490398.4518779095</v>
      </c>
      <c r="EA33" s="9">
        <v>1490398.4518779095</v>
      </c>
      <c r="EB33" s="9">
        <v>14084.348742514967</v>
      </c>
      <c r="EC33" s="9">
        <v>1476314.1031353944</v>
      </c>
      <c r="ED33" s="9">
        <v>5.36</v>
      </c>
      <c r="EE33" s="9">
        <v>0.47</v>
      </c>
      <c r="EF33" s="9">
        <v>0.15</v>
      </c>
      <c r="EG33" s="9">
        <v>0.45</v>
      </c>
      <c r="EH33" s="9">
        <v>0</v>
      </c>
      <c r="EI33" s="9">
        <v>6.43</v>
      </c>
      <c r="EJ33" s="9">
        <v>0</v>
      </c>
      <c r="EK33" s="9">
        <v>43602.452080000003</v>
      </c>
      <c r="EL33" s="9">
        <v>12035</v>
      </c>
      <c r="EM33" s="9">
        <v>7342</v>
      </c>
      <c r="EN33" s="9">
        <v>1536158.6607328779</v>
      </c>
      <c r="EO33" s="9">
        <v>1538312.0915865111</v>
      </c>
      <c r="EP33" s="9">
        <f t="shared" si="63"/>
        <v>0</v>
      </c>
      <c r="EQ33" s="9">
        <f t="shared" si="49"/>
        <v>0</v>
      </c>
      <c r="ER33" s="9">
        <f t="shared" si="50"/>
        <v>0</v>
      </c>
      <c r="ES33" s="9">
        <f t="shared" si="51"/>
        <v>0</v>
      </c>
      <c r="ET33" s="9">
        <f t="shared" si="52"/>
        <v>0</v>
      </c>
      <c r="EU33" s="9">
        <f t="shared" si="53"/>
        <v>0</v>
      </c>
      <c r="EV33" s="9">
        <f t="shared" ref="EV33:FA33" si="189">ROUND(ED33-DJ33,0)</f>
        <v>0</v>
      </c>
      <c r="EW33" s="9">
        <f t="shared" si="189"/>
        <v>0</v>
      </c>
      <c r="EX33" s="9">
        <f t="shared" si="189"/>
        <v>0</v>
      </c>
      <c r="EY33" s="9">
        <f t="shared" si="189"/>
        <v>0</v>
      </c>
      <c r="EZ33" s="9">
        <f t="shared" si="189"/>
        <v>0</v>
      </c>
      <c r="FA33" s="9">
        <f t="shared" si="189"/>
        <v>0</v>
      </c>
      <c r="FB33" s="9">
        <f t="shared" si="55"/>
        <v>0</v>
      </c>
      <c r="FC33" s="9">
        <f t="shared" si="56"/>
        <v>0</v>
      </c>
      <c r="FD33" s="9">
        <f t="shared" si="57"/>
        <v>0</v>
      </c>
      <c r="FE33" s="9">
        <f t="shared" si="58"/>
        <v>0</v>
      </c>
      <c r="FF33" s="9"/>
      <c r="FG33" s="9"/>
      <c r="FH33" s="9"/>
      <c r="FI33" s="27"/>
      <c r="FJ33" s="21">
        <v>6240</v>
      </c>
      <c r="FK33" s="28">
        <v>2925</v>
      </c>
      <c r="FL33" s="28">
        <v>4320</v>
      </c>
      <c r="FM33" s="29">
        <v>3990</v>
      </c>
      <c r="FN33" s="28">
        <v>5</v>
      </c>
      <c r="FO33" s="9"/>
    </row>
    <row r="34" spans="1:171">
      <c r="A34" s="2" t="s">
        <v>232</v>
      </c>
      <c r="B34" s="2">
        <v>100255</v>
      </c>
      <c r="C34" s="2">
        <v>2042861</v>
      </c>
      <c r="D34" s="2" t="s">
        <v>233</v>
      </c>
      <c r="E34" s="2">
        <v>163</v>
      </c>
      <c r="F34" s="2">
        <v>163</v>
      </c>
      <c r="G34" s="2">
        <v>15</v>
      </c>
      <c r="H34" s="2">
        <v>148</v>
      </c>
      <c r="I34" s="2">
        <v>0</v>
      </c>
      <c r="J34" s="2">
        <v>0</v>
      </c>
      <c r="K34" s="2">
        <v>0</v>
      </c>
      <c r="L34" s="2">
        <v>0</v>
      </c>
      <c r="M34" s="1">
        <f t="shared" si="5"/>
        <v>752571</v>
      </c>
      <c r="N34" s="2">
        <v>0.47239263803680998</v>
      </c>
      <c r="O34" s="2">
        <v>0</v>
      </c>
      <c r="P34" s="2">
        <f t="shared" si="6"/>
        <v>77.000000000000028</v>
      </c>
      <c r="Q34" s="2">
        <f t="shared" si="7"/>
        <v>0</v>
      </c>
      <c r="R34" s="1">
        <f t="shared" si="8"/>
        <v>43942.360000000015</v>
      </c>
      <c r="S34" s="2">
        <v>0.47852760736196298</v>
      </c>
      <c r="T34" s="2">
        <v>0</v>
      </c>
      <c r="U34" s="2">
        <f t="shared" si="9"/>
        <v>77.999999999999972</v>
      </c>
      <c r="V34" s="2">
        <f t="shared" si="10"/>
        <v>0</v>
      </c>
      <c r="W34" s="1">
        <f t="shared" si="11"/>
        <v>65378.819999999978</v>
      </c>
      <c r="X34" s="2">
        <v>0.122699386503067</v>
      </c>
      <c r="Y34" s="2">
        <v>0.44785276073619601</v>
      </c>
      <c r="Z34" s="2">
        <v>0.11656441717791401</v>
      </c>
      <c r="AA34" s="2">
        <v>0.25766871165644201</v>
      </c>
      <c r="AB34" s="2">
        <v>3.6809815950920199E-2</v>
      </c>
      <c r="AC34" s="2">
        <v>0</v>
      </c>
      <c r="AD34" s="2">
        <f t="shared" ref="AD34:AI34" si="190">$F34*X34</f>
        <v>19.999999999999922</v>
      </c>
      <c r="AE34" s="2">
        <f t="shared" si="190"/>
        <v>72.999999999999943</v>
      </c>
      <c r="AF34" s="2">
        <f t="shared" si="190"/>
        <v>18.999999999999982</v>
      </c>
      <c r="AG34" s="2">
        <f t="shared" si="190"/>
        <v>42.00000000000005</v>
      </c>
      <c r="AH34" s="2">
        <f t="shared" si="190"/>
        <v>5.9999999999999929</v>
      </c>
      <c r="AI34" s="2">
        <f t="shared" si="190"/>
        <v>0</v>
      </c>
      <c r="AJ34" s="1">
        <f t="shared" ref="AJ34:AO34" si="191">AD34*AJ$3</f>
        <v>5468.9999999999782</v>
      </c>
      <c r="AK34" s="1">
        <f t="shared" si="191"/>
        <v>24301.699999999979</v>
      </c>
      <c r="AL34" s="1">
        <f t="shared" si="191"/>
        <v>9939.2799999999916</v>
      </c>
      <c r="AM34" s="1">
        <f t="shared" si="191"/>
        <v>23968.560000000027</v>
      </c>
      <c r="AN34" s="1">
        <f t="shared" si="191"/>
        <v>3638.0999999999958</v>
      </c>
      <c r="AO34" s="1">
        <f t="shared" si="191"/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f t="shared" ref="AV34:BA34" si="192">$I34*AP34</f>
        <v>0</v>
      </c>
      <c r="AW34" s="2">
        <f t="shared" si="192"/>
        <v>0</v>
      </c>
      <c r="AX34" s="2">
        <f t="shared" si="192"/>
        <v>0</v>
      </c>
      <c r="AY34" s="2">
        <f t="shared" si="192"/>
        <v>0</v>
      </c>
      <c r="AZ34" s="2">
        <f t="shared" si="192"/>
        <v>0</v>
      </c>
      <c r="BA34" s="2">
        <f t="shared" si="192"/>
        <v>0</v>
      </c>
      <c r="BB34" s="1">
        <f t="shared" ref="BB34:BG34" si="193">AV34*BB$4</f>
        <v>0</v>
      </c>
      <c r="BC34" s="1">
        <f t="shared" si="193"/>
        <v>0</v>
      </c>
      <c r="BD34" s="1">
        <f t="shared" si="193"/>
        <v>0</v>
      </c>
      <c r="BE34" s="1">
        <f t="shared" si="193"/>
        <v>0</v>
      </c>
      <c r="BF34" s="1">
        <f t="shared" si="193"/>
        <v>0</v>
      </c>
      <c r="BG34" s="1">
        <f t="shared" si="193"/>
        <v>0</v>
      </c>
      <c r="BH34" s="1">
        <f t="shared" si="16"/>
        <v>67316.63999999997</v>
      </c>
      <c r="BI34" s="2">
        <v>0.195945945945946</v>
      </c>
      <c r="BJ34" s="2">
        <v>0</v>
      </c>
      <c r="BK34" s="2">
        <f t="shared" si="17"/>
        <v>31.939189189189197</v>
      </c>
      <c r="BL34" s="2">
        <f t="shared" si="18"/>
        <v>0</v>
      </c>
      <c r="BM34" s="1">
        <f t="shared" si="19"/>
        <v>22024.306689189198</v>
      </c>
      <c r="BN34" s="2">
        <v>0.26231783483691901</v>
      </c>
      <c r="BO34" s="2">
        <f t="shared" si="20"/>
        <v>42.757807078417798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f t="shared" si="21"/>
        <v>0</v>
      </c>
      <c r="CA34" s="2">
        <f t="shared" si="22"/>
        <v>0</v>
      </c>
      <c r="CB34" s="1">
        <f t="shared" si="23"/>
        <v>58715.020680083326</v>
      </c>
      <c r="CC34" s="2">
        <v>4.2944785276073601E-2</v>
      </c>
      <c r="CD34" s="2">
        <v>0</v>
      </c>
      <c r="CE34" s="2">
        <f t="shared" si="24"/>
        <v>0</v>
      </c>
      <c r="CF34" s="2">
        <f t="shared" si="25"/>
        <v>0</v>
      </c>
      <c r="CG34" s="1">
        <f t="shared" si="26"/>
        <v>0</v>
      </c>
      <c r="CH34" s="2">
        <v>152181.76000000001</v>
      </c>
      <c r="CI34" s="2">
        <v>22522</v>
      </c>
      <c r="CJ34" s="1">
        <f t="shared" si="27"/>
        <v>718015</v>
      </c>
      <c r="CK34" s="2">
        <f t="shared" si="28"/>
        <v>0</v>
      </c>
      <c r="CL34" s="2">
        <v>1309790.5204</v>
      </c>
      <c r="CM34" s="22">
        <v>35201.375200000002</v>
      </c>
      <c r="CN34" s="22">
        <v>22522</v>
      </c>
      <c r="CO34" s="2">
        <f t="shared" si="29"/>
        <v>152181.76000000001</v>
      </c>
      <c r="CP34" s="2">
        <f t="shared" si="30"/>
        <v>1170288.1355999999</v>
      </c>
      <c r="CQ34" s="2">
        <v>190</v>
      </c>
      <c r="CR34" s="2">
        <f t="shared" si="31"/>
        <v>6159.4112399999995</v>
      </c>
      <c r="CS34" s="2">
        <f t="shared" si="32"/>
        <v>6169.8822391079993</v>
      </c>
      <c r="CT34" s="2">
        <f t="shared" si="33"/>
        <v>1005690.8049746039</v>
      </c>
      <c r="CU34" s="2">
        <f t="shared" si="34"/>
        <v>22522</v>
      </c>
      <c r="CV34" s="2">
        <f t="shared" si="35"/>
        <v>152181.76000000001</v>
      </c>
      <c r="CW34" s="2">
        <f t="shared" si="36"/>
        <v>1180394.5649746039</v>
      </c>
      <c r="CX34" s="1">
        <f t="shared" si="37"/>
        <v>0</v>
      </c>
      <c r="CY34" s="1">
        <f t="shared" si="38"/>
        <v>1184651.9073692723</v>
      </c>
      <c r="CZ34" s="2">
        <v>1</v>
      </c>
      <c r="DA34" s="2">
        <f t="shared" si="39"/>
        <v>1959.26</v>
      </c>
      <c r="DB34" s="2">
        <f t="shared" si="40"/>
        <v>2746.7702702702709</v>
      </c>
      <c r="DC34" s="2">
        <f t="shared" si="41"/>
        <v>550.93999999999994</v>
      </c>
      <c r="DD34" s="2">
        <f t="shared" si="42"/>
        <v>492.26</v>
      </c>
      <c r="DE34" s="2">
        <f t="shared" si="43"/>
        <v>1434.4</v>
      </c>
      <c r="DF34" s="2">
        <f t="shared" si="44"/>
        <v>4254.3</v>
      </c>
      <c r="DG34" s="1">
        <f t="shared" si="45"/>
        <v>11437.93027027027</v>
      </c>
      <c r="DH34" s="1">
        <f t="shared" si="46"/>
        <v>341371.8573692725</v>
      </c>
      <c r="DI34" s="9">
        <v>1</v>
      </c>
      <c r="DJ34" s="23">
        <v>5.36</v>
      </c>
      <c r="DK34" s="24">
        <v>0.28000000000000003</v>
      </c>
      <c r="DL34" s="24">
        <v>0.14000000000000001</v>
      </c>
      <c r="DM34" s="24">
        <v>0.45</v>
      </c>
      <c r="DN34" s="24">
        <v>0</v>
      </c>
      <c r="DO34" s="25">
        <v>6.23</v>
      </c>
      <c r="DP34" s="9">
        <v>7346</v>
      </c>
      <c r="DQ34" s="9">
        <v>12905</v>
      </c>
      <c r="DR34" s="9">
        <v>0</v>
      </c>
      <c r="DS34" s="9" t="str">
        <f t="shared" si="47"/>
        <v>7051749</v>
      </c>
      <c r="DT34" s="9">
        <f t="shared" si="48"/>
        <v>38068.029479999997</v>
      </c>
      <c r="DU34" s="26"/>
      <c r="DV34" s="9"/>
      <c r="DW34" s="9"/>
      <c r="DX34" s="9">
        <v>1184651.9073692723</v>
      </c>
      <c r="DY34" s="9">
        <v>341371.8573692725</v>
      </c>
      <c r="DZ34" s="9">
        <v>1180394.5649746039</v>
      </c>
      <c r="EA34" s="9">
        <v>1184651.9073692723</v>
      </c>
      <c r="EB34" s="9">
        <v>11437.93027027027</v>
      </c>
      <c r="EC34" s="9">
        <v>1173213.9770990021</v>
      </c>
      <c r="ED34" s="9">
        <v>5.36</v>
      </c>
      <c r="EE34" s="9">
        <v>0.28000000000000003</v>
      </c>
      <c r="EF34" s="9">
        <v>0.14000000000000001</v>
      </c>
      <c r="EG34" s="9">
        <v>0.45</v>
      </c>
      <c r="EH34" s="9">
        <v>0</v>
      </c>
      <c r="EI34" s="9">
        <v>6.23</v>
      </c>
      <c r="EJ34" s="9">
        <v>0</v>
      </c>
      <c r="EK34" s="9">
        <v>38068.029479999997</v>
      </c>
      <c r="EL34" s="9">
        <v>12905</v>
      </c>
      <c r="EM34" s="9">
        <v>7346</v>
      </c>
      <c r="EN34" s="9">
        <v>1224493.8030801562</v>
      </c>
      <c r="EO34" s="9">
        <v>1226262.6907757798</v>
      </c>
      <c r="EP34" s="9">
        <f t="shared" si="63"/>
        <v>0</v>
      </c>
      <c r="EQ34" s="9">
        <f t="shared" si="49"/>
        <v>0</v>
      </c>
      <c r="ER34" s="9">
        <f t="shared" si="50"/>
        <v>0</v>
      </c>
      <c r="ES34" s="9">
        <f t="shared" si="51"/>
        <v>0</v>
      </c>
      <c r="ET34" s="9">
        <f t="shared" si="52"/>
        <v>0</v>
      </c>
      <c r="EU34" s="9">
        <f t="shared" si="53"/>
        <v>0</v>
      </c>
      <c r="EV34" s="9">
        <f t="shared" ref="EV34:FA34" si="194">ROUND(ED34-DJ34,0)</f>
        <v>0</v>
      </c>
      <c r="EW34" s="9">
        <f t="shared" si="194"/>
        <v>0</v>
      </c>
      <c r="EX34" s="9">
        <f t="shared" si="194"/>
        <v>0</v>
      </c>
      <c r="EY34" s="9">
        <f t="shared" si="194"/>
        <v>0</v>
      </c>
      <c r="EZ34" s="9">
        <f t="shared" si="194"/>
        <v>0</v>
      </c>
      <c r="FA34" s="9">
        <f t="shared" si="194"/>
        <v>0</v>
      </c>
      <c r="FB34" s="9">
        <f t="shared" si="55"/>
        <v>0</v>
      </c>
      <c r="FC34" s="9">
        <f t="shared" si="56"/>
        <v>0</v>
      </c>
      <c r="FD34" s="9">
        <f t="shared" si="57"/>
        <v>0</v>
      </c>
      <c r="FE34" s="9">
        <f t="shared" si="58"/>
        <v>0</v>
      </c>
      <c r="FF34" s="9"/>
      <c r="FG34" s="9"/>
      <c r="FH34" s="9"/>
      <c r="FI34" s="27"/>
      <c r="FJ34" s="21">
        <v>4290</v>
      </c>
      <c r="FK34" s="28">
        <v>1560</v>
      </c>
      <c r="FL34" s="28">
        <v>1980</v>
      </c>
      <c r="FM34" s="29">
        <v>1140</v>
      </c>
      <c r="FN34" s="28">
        <v>0</v>
      </c>
      <c r="FO34" s="9"/>
    </row>
    <row r="35" spans="1:171">
      <c r="A35" s="2" t="s">
        <v>234</v>
      </c>
      <c r="B35" s="2">
        <v>100256</v>
      </c>
      <c r="C35" s="2">
        <v>2042862</v>
      </c>
      <c r="D35" s="2" t="s">
        <v>235</v>
      </c>
      <c r="E35" s="2">
        <v>180</v>
      </c>
      <c r="F35" s="2">
        <v>180</v>
      </c>
      <c r="G35" s="2">
        <v>15</v>
      </c>
      <c r="H35" s="2">
        <v>165</v>
      </c>
      <c r="I35" s="2">
        <v>0</v>
      </c>
      <c r="J35" s="2">
        <v>0</v>
      </c>
      <c r="K35" s="2">
        <v>0</v>
      </c>
      <c r="L35" s="2">
        <v>0</v>
      </c>
      <c r="M35" s="1">
        <f t="shared" si="5"/>
        <v>831060</v>
      </c>
      <c r="N35" s="2">
        <v>0.37777777777777799</v>
      </c>
      <c r="O35" s="2">
        <v>0</v>
      </c>
      <c r="P35" s="2">
        <f t="shared" si="6"/>
        <v>68.000000000000043</v>
      </c>
      <c r="Q35" s="2">
        <f t="shared" si="7"/>
        <v>0</v>
      </c>
      <c r="R35" s="1">
        <f t="shared" si="8"/>
        <v>38806.24000000002</v>
      </c>
      <c r="S35" s="2">
        <v>0.41111111111111098</v>
      </c>
      <c r="T35" s="2">
        <v>0</v>
      </c>
      <c r="U35" s="2">
        <f t="shared" si="9"/>
        <v>73.999999999999972</v>
      </c>
      <c r="V35" s="2">
        <f t="shared" si="10"/>
        <v>0</v>
      </c>
      <c r="W35" s="1">
        <f t="shared" si="11"/>
        <v>62026.059999999983</v>
      </c>
      <c r="X35" s="2">
        <v>0.16201117318435801</v>
      </c>
      <c r="Y35" s="2">
        <v>9.4972067039106101E-2</v>
      </c>
      <c r="Z35" s="2">
        <v>0.486033519553073</v>
      </c>
      <c r="AA35" s="2">
        <v>7.2625698324022395E-2</v>
      </c>
      <c r="AB35" s="2">
        <v>0.122905027932961</v>
      </c>
      <c r="AC35" s="2">
        <v>1.11731843575419E-2</v>
      </c>
      <c r="AD35" s="2">
        <f t="shared" ref="AD35:AI35" si="195">$F35*X35</f>
        <v>29.162011173184442</v>
      </c>
      <c r="AE35" s="2">
        <f t="shared" si="195"/>
        <v>17.094972067039098</v>
      </c>
      <c r="AF35" s="2">
        <f t="shared" si="195"/>
        <v>87.486033519553146</v>
      </c>
      <c r="AG35" s="2">
        <f t="shared" si="195"/>
        <v>13.072625698324032</v>
      </c>
      <c r="AH35" s="2">
        <f t="shared" si="195"/>
        <v>22.12290502793298</v>
      </c>
      <c r="AI35" s="2">
        <f t="shared" si="195"/>
        <v>2.011173184357542</v>
      </c>
      <c r="AJ35" s="1">
        <f t="shared" ref="AJ35:AO35" si="196">AD35*AJ$3</f>
        <v>7974.3519553072856</v>
      </c>
      <c r="AK35" s="1">
        <f t="shared" si="196"/>
        <v>5690.9162011173157</v>
      </c>
      <c r="AL35" s="1">
        <f t="shared" si="196"/>
        <v>45765.693854748642</v>
      </c>
      <c r="AM35" s="1">
        <f t="shared" si="196"/>
        <v>7460.2860335195583</v>
      </c>
      <c r="AN35" s="1">
        <f t="shared" si="196"/>
        <v>13414.223463687164</v>
      </c>
      <c r="AO35" s="1">
        <f t="shared" si="196"/>
        <v>1602.0603351955308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f t="shared" ref="AV35:BA35" si="197">$I35*AP35</f>
        <v>0</v>
      </c>
      <c r="AW35" s="2">
        <f t="shared" si="197"/>
        <v>0</v>
      </c>
      <c r="AX35" s="2">
        <f t="shared" si="197"/>
        <v>0</v>
      </c>
      <c r="AY35" s="2">
        <f t="shared" si="197"/>
        <v>0</v>
      </c>
      <c r="AZ35" s="2">
        <f t="shared" si="197"/>
        <v>0</v>
      </c>
      <c r="BA35" s="2">
        <f t="shared" si="197"/>
        <v>0</v>
      </c>
      <c r="BB35" s="1">
        <f t="shared" ref="BB35:BG35" si="198">AV35*BB$4</f>
        <v>0</v>
      </c>
      <c r="BC35" s="1">
        <f t="shared" si="198"/>
        <v>0</v>
      </c>
      <c r="BD35" s="1">
        <f t="shared" si="198"/>
        <v>0</v>
      </c>
      <c r="BE35" s="1">
        <f t="shared" si="198"/>
        <v>0</v>
      </c>
      <c r="BF35" s="1">
        <f t="shared" si="198"/>
        <v>0</v>
      </c>
      <c r="BG35" s="1">
        <f t="shared" si="198"/>
        <v>0</v>
      </c>
      <c r="BH35" s="1">
        <f t="shared" si="16"/>
        <v>81907.531843575489</v>
      </c>
      <c r="BI35" s="2">
        <v>0.27272727272727298</v>
      </c>
      <c r="BJ35" s="2">
        <v>0</v>
      </c>
      <c r="BK35" s="2">
        <f t="shared" si="17"/>
        <v>49.090909090909136</v>
      </c>
      <c r="BL35" s="2">
        <f t="shared" si="18"/>
        <v>0</v>
      </c>
      <c r="BM35" s="1">
        <f t="shared" si="19"/>
        <v>33851.618181818216</v>
      </c>
      <c r="BN35" s="2">
        <v>0.23782902399254593</v>
      </c>
      <c r="BO35" s="2">
        <f t="shared" si="20"/>
        <v>42.809224318658266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f t="shared" si="21"/>
        <v>0</v>
      </c>
      <c r="CA35" s="2">
        <f t="shared" si="22"/>
        <v>0</v>
      </c>
      <c r="CB35" s="1">
        <f t="shared" si="23"/>
        <v>58785.626834381532</v>
      </c>
      <c r="CC35" s="2">
        <v>5.5555555555555601E-2</v>
      </c>
      <c r="CD35" s="2">
        <v>0</v>
      </c>
      <c r="CE35" s="2">
        <f t="shared" si="24"/>
        <v>0</v>
      </c>
      <c r="CF35" s="2">
        <f t="shared" si="25"/>
        <v>0</v>
      </c>
      <c r="CG35" s="1">
        <f t="shared" si="26"/>
        <v>0</v>
      </c>
      <c r="CH35" s="2">
        <v>152181.76000000001</v>
      </c>
      <c r="CI35" s="2">
        <v>102559</v>
      </c>
      <c r="CJ35" s="1">
        <f t="shared" si="27"/>
        <v>792900</v>
      </c>
      <c r="CK35" s="2">
        <f t="shared" si="28"/>
        <v>0</v>
      </c>
      <c r="CL35" s="2">
        <v>1457304.1306</v>
      </c>
      <c r="CM35" s="22">
        <v>36813.461799999997</v>
      </c>
      <c r="CN35" s="22">
        <v>102559</v>
      </c>
      <c r="CO35" s="2">
        <f t="shared" si="29"/>
        <v>152181.76000000001</v>
      </c>
      <c r="CP35" s="2">
        <f t="shared" si="30"/>
        <v>1239376.8324</v>
      </c>
      <c r="CQ35" s="2">
        <v>197</v>
      </c>
      <c r="CR35" s="2">
        <f t="shared" si="31"/>
        <v>6291.2529563451772</v>
      </c>
      <c r="CS35" s="2">
        <f t="shared" si="32"/>
        <v>6301.9480863709641</v>
      </c>
      <c r="CT35" s="2">
        <f t="shared" si="33"/>
        <v>1134350.6555467735</v>
      </c>
      <c r="CU35" s="2">
        <f t="shared" si="34"/>
        <v>102559</v>
      </c>
      <c r="CV35" s="2">
        <f t="shared" si="35"/>
        <v>152181.76000000001</v>
      </c>
      <c r="CW35" s="2">
        <f t="shared" si="36"/>
        <v>1389091.4155467735</v>
      </c>
      <c r="CX35" s="1">
        <f t="shared" si="37"/>
        <v>27913.578686998226</v>
      </c>
      <c r="CY35" s="1">
        <f t="shared" si="38"/>
        <v>1389091.4155467735</v>
      </c>
      <c r="CZ35" s="2">
        <v>1</v>
      </c>
      <c r="DA35" s="2">
        <f t="shared" si="39"/>
        <v>2163.6</v>
      </c>
      <c r="DB35" s="2">
        <f t="shared" si="40"/>
        <v>4221.8181818181856</v>
      </c>
      <c r="DC35" s="2">
        <f t="shared" si="41"/>
        <v>608.4</v>
      </c>
      <c r="DD35" s="2">
        <f t="shared" si="42"/>
        <v>543.6</v>
      </c>
      <c r="DE35" s="2">
        <f t="shared" si="43"/>
        <v>1584.0000000000002</v>
      </c>
      <c r="DF35" s="2">
        <f t="shared" si="44"/>
        <v>4698</v>
      </c>
      <c r="DG35" s="1">
        <f t="shared" si="45"/>
        <v>13819.418181818186</v>
      </c>
      <c r="DH35" s="1">
        <f t="shared" si="46"/>
        <v>377851.03685977525</v>
      </c>
      <c r="DI35" s="9">
        <v>1</v>
      </c>
      <c r="DJ35" s="23">
        <v>5.36</v>
      </c>
      <c r="DK35" s="24">
        <v>0.09</v>
      </c>
      <c r="DL35" s="24">
        <v>0.15</v>
      </c>
      <c r="DM35" s="24">
        <v>0.45</v>
      </c>
      <c r="DN35" s="24">
        <v>0</v>
      </c>
      <c r="DO35" s="25">
        <v>6.05</v>
      </c>
      <c r="DP35" s="9">
        <v>7404</v>
      </c>
      <c r="DQ35" s="9">
        <v>14065</v>
      </c>
      <c r="DR35" s="9">
        <v>0</v>
      </c>
      <c r="DS35" s="9" t="str">
        <f t="shared" si="47"/>
        <v>7533571</v>
      </c>
      <c r="DT35" s="9">
        <f t="shared" si="48"/>
        <v>39978.623919999998</v>
      </c>
      <c r="DU35" s="26"/>
      <c r="DV35" s="9"/>
      <c r="DW35" s="9"/>
      <c r="DX35" s="9">
        <v>1361177.836859775</v>
      </c>
      <c r="DY35" s="9">
        <v>377851.03685977525</v>
      </c>
      <c r="DZ35" s="9">
        <v>1389091.4155467735</v>
      </c>
      <c r="EA35" s="9">
        <v>1389091.4155467735</v>
      </c>
      <c r="EB35" s="9">
        <v>13819.418181818186</v>
      </c>
      <c r="EC35" s="9">
        <v>1375271.9973649553</v>
      </c>
      <c r="ED35" s="9">
        <v>5.36</v>
      </c>
      <c r="EE35" s="9">
        <v>0.09</v>
      </c>
      <c r="EF35" s="9">
        <v>0.15</v>
      </c>
      <c r="EG35" s="9">
        <v>0.45</v>
      </c>
      <c r="EH35" s="9">
        <v>0</v>
      </c>
      <c r="EI35" s="9">
        <v>6.05</v>
      </c>
      <c r="EJ35" s="9">
        <v>0</v>
      </c>
      <c r="EK35" s="9">
        <v>39978.623919999998</v>
      </c>
      <c r="EL35" s="9">
        <v>14065</v>
      </c>
      <c r="EM35" s="9">
        <v>7404</v>
      </c>
      <c r="EN35" s="9">
        <v>1431058.6379721069</v>
      </c>
      <c r="EO35" s="9">
        <v>1433042.6229870468</v>
      </c>
      <c r="EP35" s="9">
        <f t="shared" si="63"/>
        <v>0</v>
      </c>
      <c r="EQ35" s="9">
        <f t="shared" si="49"/>
        <v>0</v>
      </c>
      <c r="ER35" s="9">
        <f t="shared" si="50"/>
        <v>0</v>
      </c>
      <c r="ES35" s="9">
        <f t="shared" si="51"/>
        <v>0</v>
      </c>
      <c r="ET35" s="9">
        <f t="shared" si="52"/>
        <v>0</v>
      </c>
      <c r="EU35" s="9">
        <f t="shared" si="53"/>
        <v>0</v>
      </c>
      <c r="EV35" s="9">
        <f t="shared" ref="EV35:FA35" si="199">ROUND(ED35-DJ35,0)</f>
        <v>0</v>
      </c>
      <c r="EW35" s="9">
        <f t="shared" si="199"/>
        <v>0</v>
      </c>
      <c r="EX35" s="9">
        <f t="shared" si="199"/>
        <v>0</v>
      </c>
      <c r="EY35" s="9">
        <f t="shared" si="199"/>
        <v>0</v>
      </c>
      <c r="EZ35" s="9">
        <f t="shared" si="199"/>
        <v>0</v>
      </c>
      <c r="FA35" s="9">
        <f t="shared" si="199"/>
        <v>0</v>
      </c>
      <c r="FB35" s="9">
        <f t="shared" si="55"/>
        <v>0</v>
      </c>
      <c r="FC35" s="9">
        <f t="shared" si="56"/>
        <v>0</v>
      </c>
      <c r="FD35" s="9">
        <f t="shared" si="57"/>
        <v>0</v>
      </c>
      <c r="FE35" s="9">
        <f t="shared" si="58"/>
        <v>0</v>
      </c>
      <c r="FF35" s="9"/>
      <c r="FG35" s="9"/>
      <c r="FH35" s="9"/>
      <c r="FI35" s="27"/>
      <c r="FJ35" s="21">
        <v>5655</v>
      </c>
      <c r="FK35" s="28">
        <v>3120</v>
      </c>
      <c r="FL35" s="28">
        <v>3240</v>
      </c>
      <c r="FM35" s="29">
        <v>570</v>
      </c>
      <c r="FN35" s="28">
        <v>0</v>
      </c>
      <c r="FO35" s="9"/>
    </row>
    <row r="36" spans="1:171">
      <c r="A36" s="2" t="s">
        <v>236</v>
      </c>
      <c r="B36" s="2">
        <v>100257</v>
      </c>
      <c r="C36" s="2">
        <v>2042863</v>
      </c>
      <c r="D36" s="2" t="s">
        <v>237</v>
      </c>
      <c r="E36" s="2">
        <v>191</v>
      </c>
      <c r="F36" s="2">
        <v>191</v>
      </c>
      <c r="G36" s="2">
        <v>25</v>
      </c>
      <c r="H36" s="2">
        <v>166</v>
      </c>
      <c r="I36" s="2">
        <v>0</v>
      </c>
      <c r="J36" s="2">
        <v>0</v>
      </c>
      <c r="K36" s="2">
        <v>0</v>
      </c>
      <c r="L36" s="2">
        <v>0</v>
      </c>
      <c r="M36" s="1">
        <f t="shared" si="5"/>
        <v>881847</v>
      </c>
      <c r="N36" s="2">
        <v>0.35602094240837701</v>
      </c>
      <c r="O36" s="2">
        <v>0</v>
      </c>
      <c r="P36" s="2">
        <f t="shared" si="6"/>
        <v>68.000000000000014</v>
      </c>
      <c r="Q36" s="2">
        <f t="shared" si="7"/>
        <v>0</v>
      </c>
      <c r="R36" s="1">
        <f t="shared" si="8"/>
        <v>38806.240000000005</v>
      </c>
      <c r="S36" s="2">
        <v>0.35602094240837701</v>
      </c>
      <c r="T36" s="2">
        <v>0</v>
      </c>
      <c r="U36" s="2">
        <f t="shared" si="9"/>
        <v>68.000000000000014</v>
      </c>
      <c r="V36" s="2">
        <f t="shared" si="10"/>
        <v>0</v>
      </c>
      <c r="W36" s="1">
        <f t="shared" si="11"/>
        <v>56996.920000000013</v>
      </c>
      <c r="X36" s="2">
        <v>0.28272251308900498</v>
      </c>
      <c r="Y36" s="2">
        <v>4.7120418848167499E-2</v>
      </c>
      <c r="Z36" s="2">
        <v>0.15706806282722499</v>
      </c>
      <c r="AA36" s="2">
        <v>2.6178010471204199E-2</v>
      </c>
      <c r="AB36" s="2">
        <v>6.2827225130889994E-2</v>
      </c>
      <c r="AC36" s="2">
        <v>1.04712041884817E-2</v>
      </c>
      <c r="AD36" s="2">
        <f t="shared" ref="AD36:AI36" si="200">$F36*X36</f>
        <v>53.99999999999995</v>
      </c>
      <c r="AE36" s="2">
        <f t="shared" si="200"/>
        <v>8.9999999999999929</v>
      </c>
      <c r="AF36" s="2">
        <f t="shared" si="200"/>
        <v>29.999999999999972</v>
      </c>
      <c r="AG36" s="2">
        <f t="shared" si="200"/>
        <v>5.0000000000000018</v>
      </c>
      <c r="AH36" s="2">
        <f t="shared" si="200"/>
        <v>11.999999999999989</v>
      </c>
      <c r="AI36" s="2">
        <f t="shared" si="200"/>
        <v>2.0000000000000049</v>
      </c>
      <c r="AJ36" s="1">
        <f t="shared" ref="AJ36:AO36" si="201">AD36*AJ$3</f>
        <v>14766.299999999987</v>
      </c>
      <c r="AK36" s="1">
        <f t="shared" si="201"/>
        <v>2996.0999999999976</v>
      </c>
      <c r="AL36" s="1">
        <f t="shared" si="201"/>
        <v>15693.599999999986</v>
      </c>
      <c r="AM36" s="1">
        <f t="shared" si="201"/>
        <v>2853.4000000000005</v>
      </c>
      <c r="AN36" s="1">
        <f t="shared" si="201"/>
        <v>7276.1999999999935</v>
      </c>
      <c r="AO36" s="1">
        <f t="shared" si="201"/>
        <v>1593.1600000000039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f t="shared" ref="AV36:BA36" si="202">$I36*AP36</f>
        <v>0</v>
      </c>
      <c r="AW36" s="2">
        <f t="shared" si="202"/>
        <v>0</v>
      </c>
      <c r="AX36" s="2">
        <f t="shared" si="202"/>
        <v>0</v>
      </c>
      <c r="AY36" s="2">
        <f t="shared" si="202"/>
        <v>0</v>
      </c>
      <c r="AZ36" s="2">
        <f t="shared" si="202"/>
        <v>0</v>
      </c>
      <c r="BA36" s="2">
        <f t="shared" si="202"/>
        <v>0</v>
      </c>
      <c r="BB36" s="1">
        <f t="shared" ref="BB36:BG36" si="203">AV36*BB$4</f>
        <v>0</v>
      </c>
      <c r="BC36" s="1">
        <f t="shared" si="203"/>
        <v>0</v>
      </c>
      <c r="BD36" s="1">
        <f t="shared" si="203"/>
        <v>0</v>
      </c>
      <c r="BE36" s="1">
        <f t="shared" si="203"/>
        <v>0</v>
      </c>
      <c r="BF36" s="1">
        <f t="shared" si="203"/>
        <v>0</v>
      </c>
      <c r="BG36" s="1">
        <f t="shared" si="203"/>
        <v>0</v>
      </c>
      <c r="BH36" s="1">
        <f t="shared" si="16"/>
        <v>45178.759999999966</v>
      </c>
      <c r="BI36" s="2">
        <v>0.41566265060240998</v>
      </c>
      <c r="BJ36" s="2">
        <v>0</v>
      </c>
      <c r="BK36" s="2">
        <f t="shared" si="17"/>
        <v>79.391566265060305</v>
      </c>
      <c r="BL36" s="2">
        <f t="shared" si="18"/>
        <v>0</v>
      </c>
      <c r="BM36" s="1">
        <f t="shared" si="19"/>
        <v>54746.042349397641</v>
      </c>
      <c r="BN36" s="2">
        <v>0.25156250000000002</v>
      </c>
      <c r="BO36" s="2">
        <f t="shared" si="20"/>
        <v>48.048437500000006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f t="shared" si="21"/>
        <v>0</v>
      </c>
      <c r="CA36" s="2">
        <f t="shared" si="22"/>
        <v>0</v>
      </c>
      <c r="CB36" s="1">
        <f t="shared" si="23"/>
        <v>65980.114375000005</v>
      </c>
      <c r="CC36" s="2">
        <v>8.3769633507853394E-2</v>
      </c>
      <c r="CD36" s="2">
        <v>0</v>
      </c>
      <c r="CE36" s="2">
        <f t="shared" si="24"/>
        <v>4.5399999999999991</v>
      </c>
      <c r="CF36" s="2">
        <f t="shared" si="25"/>
        <v>0</v>
      </c>
      <c r="CG36" s="1">
        <f t="shared" si="26"/>
        <v>5100.8261999999986</v>
      </c>
      <c r="CH36" s="2">
        <v>152181.76000000001</v>
      </c>
      <c r="CI36" s="2">
        <v>19087</v>
      </c>
      <c r="CJ36" s="1">
        <f t="shared" si="27"/>
        <v>841355</v>
      </c>
      <c r="CK36" s="2">
        <f t="shared" si="28"/>
        <v>0</v>
      </c>
      <c r="CL36" s="2">
        <v>1360443.5314</v>
      </c>
      <c r="CM36" s="22">
        <v>35386.427100000001</v>
      </c>
      <c r="CN36" s="22">
        <v>19087</v>
      </c>
      <c r="CO36" s="2">
        <f t="shared" si="29"/>
        <v>152181.76000000001</v>
      </c>
      <c r="CP36" s="2">
        <f t="shared" si="30"/>
        <v>1224561.1984999999</v>
      </c>
      <c r="CQ36" s="2">
        <v>203</v>
      </c>
      <c r="CR36" s="2">
        <f t="shared" si="31"/>
        <v>6032.3211748768472</v>
      </c>
      <c r="CS36" s="2">
        <f t="shared" si="32"/>
        <v>6042.5761208741378</v>
      </c>
      <c r="CT36" s="2">
        <f t="shared" si="33"/>
        <v>1154132.0390869603</v>
      </c>
      <c r="CU36" s="2">
        <f t="shared" si="34"/>
        <v>19087</v>
      </c>
      <c r="CV36" s="2">
        <f t="shared" si="35"/>
        <v>152181.76000000001</v>
      </c>
      <c r="CW36" s="2">
        <f t="shared" si="36"/>
        <v>1325400.7990869603</v>
      </c>
      <c r="CX36" s="1">
        <f t="shared" si="37"/>
        <v>5476.1361625626159</v>
      </c>
      <c r="CY36" s="1">
        <f t="shared" si="38"/>
        <v>1325400.79908696</v>
      </c>
      <c r="CZ36" s="2">
        <v>1</v>
      </c>
      <c r="DA36" s="2">
        <f t="shared" si="39"/>
        <v>2295.8199999999997</v>
      </c>
      <c r="DB36" s="2">
        <f t="shared" si="40"/>
        <v>6827.6746987951865</v>
      </c>
      <c r="DC36" s="2">
        <f t="shared" si="41"/>
        <v>645.57999999999993</v>
      </c>
      <c r="DD36" s="2">
        <f t="shared" si="42"/>
        <v>576.82000000000005</v>
      </c>
      <c r="DE36" s="2">
        <f t="shared" si="43"/>
        <v>1680.8000000000002</v>
      </c>
      <c r="DF36" s="2">
        <f t="shared" si="44"/>
        <v>4985.1000000000004</v>
      </c>
      <c r="DG36" s="1">
        <f t="shared" si="45"/>
        <v>17011.794698795187</v>
      </c>
      <c r="DH36" s="1">
        <f t="shared" si="46"/>
        <v>377916.65292439761</v>
      </c>
      <c r="DI36" s="9">
        <v>1</v>
      </c>
      <c r="DJ36" s="23">
        <v>5.36</v>
      </c>
      <c r="DK36" s="24">
        <v>0.41</v>
      </c>
      <c r="DL36" s="24">
        <v>0.09</v>
      </c>
      <c r="DM36" s="24">
        <v>0.45</v>
      </c>
      <c r="DN36" s="24">
        <v>0</v>
      </c>
      <c r="DO36" s="25">
        <v>6.31</v>
      </c>
      <c r="DP36" s="9">
        <v>7371</v>
      </c>
      <c r="DQ36" s="9">
        <v>11165</v>
      </c>
      <c r="DR36" s="9">
        <v>0</v>
      </c>
      <c r="DS36" s="9" t="str">
        <f t="shared" si="47"/>
        <v>6562152</v>
      </c>
      <c r="DT36" s="9">
        <f t="shared" si="48"/>
        <v>40793.034119999997</v>
      </c>
      <c r="DU36" s="26"/>
      <c r="DV36" s="9"/>
      <c r="DW36" s="9"/>
      <c r="DX36" s="9">
        <v>1319924.6629243975</v>
      </c>
      <c r="DY36" s="9">
        <v>377916.65292439761</v>
      </c>
      <c r="DZ36" s="9">
        <v>1325400.7990869603</v>
      </c>
      <c r="EA36" s="9">
        <v>1325400.7990869603</v>
      </c>
      <c r="EB36" s="9">
        <v>17011.794698795187</v>
      </c>
      <c r="EC36" s="9">
        <v>1308389.0043881652</v>
      </c>
      <c r="ED36" s="9">
        <v>5.36</v>
      </c>
      <c r="EE36" s="9">
        <v>0.41</v>
      </c>
      <c r="EF36" s="9">
        <v>0.09</v>
      </c>
      <c r="EG36" s="9">
        <v>0.45</v>
      </c>
      <c r="EH36" s="9">
        <v>0</v>
      </c>
      <c r="EI36" s="9">
        <v>6.31</v>
      </c>
      <c r="EJ36" s="9">
        <v>0</v>
      </c>
      <c r="EK36" s="9">
        <v>40793.034119999997</v>
      </c>
      <c r="EL36" s="9">
        <v>11165</v>
      </c>
      <c r="EM36" s="9">
        <v>7371</v>
      </c>
      <c r="EN36" s="9">
        <v>1368217.4445616521</v>
      </c>
      <c r="EO36" s="9">
        <v>1370236.5019477941</v>
      </c>
      <c r="EP36" s="9">
        <f t="shared" si="63"/>
        <v>0</v>
      </c>
      <c r="EQ36" s="9">
        <f t="shared" si="49"/>
        <v>0</v>
      </c>
      <c r="ER36" s="9">
        <f t="shared" si="50"/>
        <v>0</v>
      </c>
      <c r="ES36" s="9">
        <f t="shared" si="51"/>
        <v>0</v>
      </c>
      <c r="ET36" s="9">
        <f t="shared" si="52"/>
        <v>0</v>
      </c>
      <c r="EU36" s="9">
        <f t="shared" si="53"/>
        <v>0</v>
      </c>
      <c r="EV36" s="9">
        <f t="shared" ref="EV36:FA36" si="204">ROUND(ED36-DJ36,0)</f>
        <v>0</v>
      </c>
      <c r="EW36" s="9">
        <f t="shared" si="204"/>
        <v>0</v>
      </c>
      <c r="EX36" s="9">
        <f t="shared" si="204"/>
        <v>0</v>
      </c>
      <c r="EY36" s="9">
        <f t="shared" si="204"/>
        <v>0</v>
      </c>
      <c r="EZ36" s="9">
        <f t="shared" si="204"/>
        <v>0</v>
      </c>
      <c r="FA36" s="9">
        <f t="shared" si="204"/>
        <v>0</v>
      </c>
      <c r="FB36" s="9">
        <f t="shared" si="55"/>
        <v>0</v>
      </c>
      <c r="FC36" s="9">
        <f t="shared" si="56"/>
        <v>0</v>
      </c>
      <c r="FD36" s="9">
        <f t="shared" si="57"/>
        <v>0</v>
      </c>
      <c r="FE36" s="9">
        <f t="shared" si="58"/>
        <v>0</v>
      </c>
      <c r="FF36" s="9"/>
      <c r="FG36" s="9"/>
      <c r="FH36" s="9"/>
      <c r="FI36" s="27"/>
      <c r="FJ36" s="21">
        <v>7215</v>
      </c>
      <c r="FK36" s="28">
        <v>2340</v>
      </c>
      <c r="FL36" s="28">
        <v>4140</v>
      </c>
      <c r="FM36" s="29">
        <v>2850</v>
      </c>
      <c r="FN36" s="28">
        <v>0</v>
      </c>
      <c r="FO36" s="9"/>
    </row>
    <row r="37" spans="1:171">
      <c r="A37" s="2" t="s">
        <v>238</v>
      </c>
      <c r="B37" s="2">
        <v>100258</v>
      </c>
      <c r="C37" s="2">
        <v>2042864</v>
      </c>
      <c r="D37" s="2" t="s">
        <v>239</v>
      </c>
      <c r="E37" s="2">
        <v>408</v>
      </c>
      <c r="F37" s="2">
        <v>408</v>
      </c>
      <c r="G37" s="2">
        <v>59</v>
      </c>
      <c r="H37" s="2">
        <v>349</v>
      </c>
      <c r="I37" s="2">
        <v>0</v>
      </c>
      <c r="J37" s="2">
        <v>0</v>
      </c>
      <c r="K37" s="2">
        <v>0</v>
      </c>
      <c r="L37" s="2">
        <v>1</v>
      </c>
      <c r="M37" s="1">
        <f t="shared" si="5"/>
        <v>1883736</v>
      </c>
      <c r="N37" s="2">
        <v>0.22794117647058801</v>
      </c>
      <c r="O37" s="2">
        <v>0</v>
      </c>
      <c r="P37" s="2">
        <f t="shared" si="6"/>
        <v>92.999999999999901</v>
      </c>
      <c r="Q37" s="2">
        <f t="shared" si="7"/>
        <v>0</v>
      </c>
      <c r="R37" s="1">
        <f t="shared" si="8"/>
        <v>53073.23999999994</v>
      </c>
      <c r="S37" s="2">
        <v>0.23774509803921601</v>
      </c>
      <c r="T37" s="2">
        <v>0</v>
      </c>
      <c r="U37" s="2">
        <f t="shared" si="9"/>
        <v>97.000000000000128</v>
      </c>
      <c r="V37" s="2">
        <f t="shared" si="10"/>
        <v>0</v>
      </c>
      <c r="W37" s="1">
        <f t="shared" si="11"/>
        <v>81304.430000000109</v>
      </c>
      <c r="X37" s="2">
        <v>0.184729064039409</v>
      </c>
      <c r="Y37" s="2">
        <v>0.16009852216748799</v>
      </c>
      <c r="Z37" s="2">
        <v>7.8817733990147798E-2</v>
      </c>
      <c r="AA37" s="2">
        <v>9.8522167487684695E-3</v>
      </c>
      <c r="AB37" s="2">
        <v>4.1871921182266E-2</v>
      </c>
      <c r="AC37" s="2">
        <v>3.4482758620689703E-2</v>
      </c>
      <c r="AD37" s="2">
        <f t="shared" ref="AD37:AI37" si="205">$F37*X37</f>
        <v>75.369458128078875</v>
      </c>
      <c r="AE37" s="2">
        <f t="shared" si="205"/>
        <v>65.320197044335103</v>
      </c>
      <c r="AF37" s="2">
        <f t="shared" si="205"/>
        <v>32.157635467980299</v>
      </c>
      <c r="AG37" s="2">
        <f t="shared" si="205"/>
        <v>4.0197044334975356</v>
      </c>
      <c r="AH37" s="2">
        <f t="shared" si="205"/>
        <v>17.083743842364527</v>
      </c>
      <c r="AI37" s="2">
        <f t="shared" si="205"/>
        <v>14.068965517241399</v>
      </c>
      <c r="AJ37" s="1">
        <f t="shared" ref="AJ37:AO37" si="206">AD37*AJ$3</f>
        <v>20609.778325123167</v>
      </c>
      <c r="AK37" s="1">
        <f t="shared" si="206"/>
        <v>21745.093596059156</v>
      </c>
      <c r="AL37" s="1">
        <f t="shared" si="206"/>
        <v>16822.302266009854</v>
      </c>
      <c r="AM37" s="1">
        <f t="shared" si="206"/>
        <v>2293.9649261083732</v>
      </c>
      <c r="AN37" s="1">
        <f t="shared" si="206"/>
        <v>10358.72807881773</v>
      </c>
      <c r="AO37" s="1">
        <f t="shared" si="206"/>
        <v>11207.056551724154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f t="shared" ref="AV37:BA37" si="207">$I37*AP37</f>
        <v>0</v>
      </c>
      <c r="AW37" s="2">
        <f t="shared" si="207"/>
        <v>0</v>
      </c>
      <c r="AX37" s="2">
        <f t="shared" si="207"/>
        <v>0</v>
      </c>
      <c r="AY37" s="2">
        <f t="shared" si="207"/>
        <v>0</v>
      </c>
      <c r="AZ37" s="2">
        <f t="shared" si="207"/>
        <v>0</v>
      </c>
      <c r="BA37" s="2">
        <f t="shared" si="207"/>
        <v>0</v>
      </c>
      <c r="BB37" s="1">
        <f t="shared" ref="BB37:BG37" si="208">AV37*BB$4</f>
        <v>0</v>
      </c>
      <c r="BC37" s="1">
        <f t="shared" si="208"/>
        <v>0</v>
      </c>
      <c r="BD37" s="1">
        <f t="shared" si="208"/>
        <v>0</v>
      </c>
      <c r="BE37" s="1">
        <f t="shared" si="208"/>
        <v>0</v>
      </c>
      <c r="BF37" s="1">
        <f t="shared" si="208"/>
        <v>0</v>
      </c>
      <c r="BG37" s="1">
        <f t="shared" si="208"/>
        <v>0</v>
      </c>
      <c r="BH37" s="1">
        <f t="shared" si="16"/>
        <v>83036.923743842432</v>
      </c>
      <c r="BI37" s="2">
        <v>8.3094555873925502E-2</v>
      </c>
      <c r="BJ37" s="2">
        <v>0</v>
      </c>
      <c r="BK37" s="2">
        <f t="shared" si="17"/>
        <v>33.902578796561606</v>
      </c>
      <c r="BL37" s="2">
        <f t="shared" si="18"/>
        <v>0</v>
      </c>
      <c r="BM37" s="1">
        <f t="shared" si="19"/>
        <v>23378.201260744987</v>
      </c>
      <c r="BN37" s="2">
        <v>0.1405987394957984</v>
      </c>
      <c r="BO37" s="2">
        <f t="shared" si="20"/>
        <v>57.364285714285749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f t="shared" si="21"/>
        <v>0</v>
      </c>
      <c r="CA37" s="2">
        <f t="shared" si="22"/>
        <v>0</v>
      </c>
      <c r="CB37" s="1">
        <f t="shared" si="23"/>
        <v>78772.637142857187</v>
      </c>
      <c r="CC37" s="2">
        <v>5.1470588235294101E-2</v>
      </c>
      <c r="CD37" s="2">
        <v>0</v>
      </c>
      <c r="CE37" s="2">
        <f t="shared" si="24"/>
        <v>0</v>
      </c>
      <c r="CF37" s="2">
        <f t="shared" si="25"/>
        <v>0</v>
      </c>
      <c r="CG37" s="1">
        <f t="shared" si="26"/>
        <v>0</v>
      </c>
      <c r="CH37" s="2">
        <v>152181.76000000001</v>
      </c>
      <c r="CI37" s="2">
        <v>43954</v>
      </c>
      <c r="CJ37" s="1">
        <f t="shared" si="27"/>
        <v>1797240</v>
      </c>
      <c r="CK37" s="2">
        <f t="shared" si="28"/>
        <v>0</v>
      </c>
      <c r="CL37" s="2">
        <v>2465999.2041000002</v>
      </c>
      <c r="CM37" s="22">
        <v>61610.413699999997</v>
      </c>
      <c r="CN37" s="22">
        <v>43954</v>
      </c>
      <c r="CO37" s="2">
        <f t="shared" si="29"/>
        <v>152181.76000000001</v>
      </c>
      <c r="CP37" s="2">
        <f t="shared" si="30"/>
        <v>2331473.8578000003</v>
      </c>
      <c r="CQ37" s="2">
        <v>409</v>
      </c>
      <c r="CR37" s="2">
        <f t="shared" si="31"/>
        <v>5700.4250801955995</v>
      </c>
      <c r="CS37" s="2">
        <f t="shared" si="32"/>
        <v>5710.1158028319323</v>
      </c>
      <c r="CT37" s="2">
        <f t="shared" si="33"/>
        <v>2329727.2475554282</v>
      </c>
      <c r="CU37" s="2">
        <f t="shared" si="34"/>
        <v>43954</v>
      </c>
      <c r="CV37" s="2">
        <f t="shared" si="35"/>
        <v>152181.76000000001</v>
      </c>
      <c r="CW37" s="2">
        <f t="shared" si="36"/>
        <v>2525863.007555428</v>
      </c>
      <c r="CX37" s="1">
        <f t="shared" si="37"/>
        <v>126425.8154079832</v>
      </c>
      <c r="CY37" s="1">
        <f t="shared" si="38"/>
        <v>2525863.007555428</v>
      </c>
      <c r="CZ37" s="2">
        <v>1</v>
      </c>
      <c r="DA37" s="2">
        <f t="shared" si="39"/>
        <v>4904.16</v>
      </c>
      <c r="DB37" s="2">
        <f t="shared" si="40"/>
        <v>2915.6217765042979</v>
      </c>
      <c r="DC37" s="2">
        <f t="shared" si="41"/>
        <v>1379.04</v>
      </c>
      <c r="DD37" s="2">
        <f t="shared" si="42"/>
        <v>1232.1600000000001</v>
      </c>
      <c r="DE37" s="2">
        <f t="shared" si="43"/>
        <v>3590.4</v>
      </c>
      <c r="DF37" s="2">
        <f t="shared" si="44"/>
        <v>10648.800000000001</v>
      </c>
      <c r="DG37" s="1">
        <f t="shared" si="45"/>
        <v>24670.181776504298</v>
      </c>
      <c r="DH37" s="1">
        <f t="shared" si="46"/>
        <v>586727.31214744481</v>
      </c>
      <c r="DI37" s="9">
        <v>1</v>
      </c>
      <c r="DJ37" s="23">
        <v>5.36</v>
      </c>
      <c r="DK37" s="24">
        <v>0.12</v>
      </c>
      <c r="DL37" s="24">
        <v>0.11</v>
      </c>
      <c r="DM37" s="24">
        <v>0.45</v>
      </c>
      <c r="DN37" s="24">
        <v>0</v>
      </c>
      <c r="DO37" s="25">
        <v>6.04</v>
      </c>
      <c r="DP37" s="9">
        <v>8129</v>
      </c>
      <c r="DQ37" s="9">
        <v>14645</v>
      </c>
      <c r="DR37" s="9">
        <v>0</v>
      </c>
      <c r="DS37" s="9" t="str">
        <f t="shared" si="47"/>
        <v>8637886</v>
      </c>
      <c r="DT37" s="9">
        <f t="shared" si="48"/>
        <v>75080.29800000001</v>
      </c>
      <c r="DU37" s="26"/>
      <c r="DV37" s="9"/>
      <c r="DW37" s="9"/>
      <c r="DX37" s="9">
        <v>2399437.1921474449</v>
      </c>
      <c r="DY37" s="9">
        <v>586727.3121474447</v>
      </c>
      <c r="DZ37" s="9">
        <v>2525863.007555428</v>
      </c>
      <c r="EA37" s="9">
        <v>2525863.007555428</v>
      </c>
      <c r="EB37" s="9">
        <v>24670.181776504298</v>
      </c>
      <c r="EC37" s="9">
        <v>2501192.8257789235</v>
      </c>
      <c r="ED37" s="9">
        <v>5.36</v>
      </c>
      <c r="EE37" s="9">
        <v>0.12</v>
      </c>
      <c r="EF37" s="9">
        <v>0.11</v>
      </c>
      <c r="EG37" s="9">
        <v>0.45</v>
      </c>
      <c r="EH37" s="9">
        <v>0</v>
      </c>
      <c r="EI37" s="9">
        <v>6.04</v>
      </c>
      <c r="EJ37" s="9">
        <v>0</v>
      </c>
      <c r="EK37" s="9">
        <v>75080.29800000001</v>
      </c>
      <c r="EL37" s="9">
        <v>14645</v>
      </c>
      <c r="EM37" s="9">
        <v>8129</v>
      </c>
      <c r="EN37" s="9">
        <v>2605023.7171131121</v>
      </c>
      <c r="EO37" s="9">
        <v>2609103.071262592</v>
      </c>
      <c r="EP37" s="9">
        <f t="shared" si="63"/>
        <v>0</v>
      </c>
      <c r="EQ37" s="9">
        <f t="shared" si="49"/>
        <v>0</v>
      </c>
      <c r="ER37" s="9">
        <f t="shared" si="50"/>
        <v>0</v>
      </c>
      <c r="ES37" s="9">
        <f t="shared" si="51"/>
        <v>0</v>
      </c>
      <c r="ET37" s="9">
        <f t="shared" si="52"/>
        <v>0</v>
      </c>
      <c r="EU37" s="9">
        <f t="shared" si="53"/>
        <v>0</v>
      </c>
      <c r="EV37" s="9">
        <f t="shared" ref="EV37:FA37" si="209">ROUND(ED37-DJ37,0)</f>
        <v>0</v>
      </c>
      <c r="EW37" s="9">
        <f t="shared" si="209"/>
        <v>0</v>
      </c>
      <c r="EX37" s="9">
        <f t="shared" si="209"/>
        <v>0</v>
      </c>
      <c r="EY37" s="9">
        <f t="shared" si="209"/>
        <v>0</v>
      </c>
      <c r="EZ37" s="9">
        <f t="shared" si="209"/>
        <v>0</v>
      </c>
      <c r="FA37" s="9">
        <f t="shared" si="209"/>
        <v>0</v>
      </c>
      <c r="FB37" s="9">
        <f t="shared" si="55"/>
        <v>0</v>
      </c>
      <c r="FC37" s="9">
        <f t="shared" si="56"/>
        <v>0</v>
      </c>
      <c r="FD37" s="9">
        <f t="shared" si="57"/>
        <v>0</v>
      </c>
      <c r="FE37" s="9">
        <f t="shared" si="58"/>
        <v>0</v>
      </c>
      <c r="FF37" s="9"/>
      <c r="FG37" s="9"/>
      <c r="FH37" s="9"/>
      <c r="FI37" s="27"/>
      <c r="FJ37" s="21">
        <v>7995</v>
      </c>
      <c r="FK37" s="28">
        <v>9165</v>
      </c>
      <c r="FL37" s="28">
        <v>13500</v>
      </c>
      <c r="FM37" s="29">
        <v>2850</v>
      </c>
      <c r="FN37" s="28">
        <v>0</v>
      </c>
      <c r="FO37" s="9"/>
    </row>
    <row r="38" spans="1:171">
      <c r="A38" s="2" t="s">
        <v>240</v>
      </c>
      <c r="B38" s="2">
        <v>100259</v>
      </c>
      <c r="C38" s="2">
        <v>2042865</v>
      </c>
      <c r="D38" s="2" t="s">
        <v>241</v>
      </c>
      <c r="E38" s="2">
        <v>189</v>
      </c>
      <c r="F38" s="2">
        <v>189</v>
      </c>
      <c r="G38" s="2">
        <v>28</v>
      </c>
      <c r="H38" s="2">
        <v>161</v>
      </c>
      <c r="I38" s="2">
        <v>0</v>
      </c>
      <c r="J38" s="2">
        <v>0</v>
      </c>
      <c r="K38" s="2">
        <v>0</v>
      </c>
      <c r="L38" s="2">
        <v>0</v>
      </c>
      <c r="M38" s="1">
        <f t="shared" si="5"/>
        <v>872613</v>
      </c>
      <c r="N38" s="2">
        <v>0.35978835978835999</v>
      </c>
      <c r="O38" s="2">
        <v>0</v>
      </c>
      <c r="P38" s="2">
        <f t="shared" si="6"/>
        <v>68.000000000000043</v>
      </c>
      <c r="Q38" s="2">
        <f t="shared" si="7"/>
        <v>0</v>
      </c>
      <c r="R38" s="1">
        <f t="shared" si="8"/>
        <v>38806.24000000002</v>
      </c>
      <c r="S38" s="2">
        <v>0.37566137566137597</v>
      </c>
      <c r="T38" s="2">
        <v>0</v>
      </c>
      <c r="U38" s="2">
        <f t="shared" si="9"/>
        <v>71.000000000000057</v>
      </c>
      <c r="V38" s="2">
        <f t="shared" si="10"/>
        <v>0</v>
      </c>
      <c r="W38" s="1">
        <f t="shared" si="11"/>
        <v>59511.490000000049</v>
      </c>
      <c r="X38" s="2">
        <v>0.11111111111111099</v>
      </c>
      <c r="Y38" s="2">
        <v>0.16402116402116401</v>
      </c>
      <c r="Z38" s="2">
        <v>0.10582010582010599</v>
      </c>
      <c r="AA38" s="2">
        <v>4.2328042328042298E-2</v>
      </c>
      <c r="AB38" s="2">
        <v>0.52380952380952395</v>
      </c>
      <c r="AC38" s="2">
        <v>2.1164021164021201E-2</v>
      </c>
      <c r="AD38" s="2">
        <f t="shared" ref="AD38:AI38" si="210">$F38*X38</f>
        <v>20.999999999999979</v>
      </c>
      <c r="AE38" s="2">
        <f t="shared" si="210"/>
        <v>31</v>
      </c>
      <c r="AF38" s="2">
        <f t="shared" si="210"/>
        <v>20.000000000000032</v>
      </c>
      <c r="AG38" s="2">
        <f t="shared" si="210"/>
        <v>7.9999999999999947</v>
      </c>
      <c r="AH38" s="2">
        <f t="shared" si="210"/>
        <v>99.000000000000028</v>
      </c>
      <c r="AI38" s="2">
        <f t="shared" si="210"/>
        <v>4.0000000000000071</v>
      </c>
      <c r="AJ38" s="1">
        <f t="shared" ref="AJ38:AO38" si="211">AD38*AJ$3</f>
        <v>5742.4499999999944</v>
      </c>
      <c r="AK38" s="1">
        <f t="shared" si="211"/>
        <v>10319.9</v>
      </c>
      <c r="AL38" s="1">
        <f t="shared" si="211"/>
        <v>10462.400000000016</v>
      </c>
      <c r="AM38" s="1">
        <f t="shared" si="211"/>
        <v>4565.4399999999969</v>
      </c>
      <c r="AN38" s="1">
        <f t="shared" si="211"/>
        <v>60028.650000000016</v>
      </c>
      <c r="AO38" s="1">
        <f t="shared" si="211"/>
        <v>3186.3200000000056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f t="shared" ref="AV38:BA38" si="212">$I38*AP38</f>
        <v>0</v>
      </c>
      <c r="AW38" s="2">
        <f t="shared" si="212"/>
        <v>0</v>
      </c>
      <c r="AX38" s="2">
        <f t="shared" si="212"/>
        <v>0</v>
      </c>
      <c r="AY38" s="2">
        <f t="shared" si="212"/>
        <v>0</v>
      </c>
      <c r="AZ38" s="2">
        <f t="shared" si="212"/>
        <v>0</v>
      </c>
      <c r="BA38" s="2">
        <f t="shared" si="212"/>
        <v>0</v>
      </c>
      <c r="BB38" s="1">
        <f t="shared" ref="BB38:BG38" si="213">AV38*BB$4</f>
        <v>0</v>
      </c>
      <c r="BC38" s="1">
        <f t="shared" si="213"/>
        <v>0</v>
      </c>
      <c r="BD38" s="1">
        <f t="shared" si="213"/>
        <v>0</v>
      </c>
      <c r="BE38" s="1">
        <f t="shared" si="213"/>
        <v>0</v>
      </c>
      <c r="BF38" s="1">
        <f t="shared" si="213"/>
        <v>0</v>
      </c>
      <c r="BG38" s="1">
        <f t="shared" si="213"/>
        <v>0</v>
      </c>
      <c r="BH38" s="1">
        <f t="shared" si="16"/>
        <v>94305.160000000033</v>
      </c>
      <c r="BI38" s="2">
        <v>0.31677018633540399</v>
      </c>
      <c r="BJ38" s="2">
        <v>0</v>
      </c>
      <c r="BK38" s="2">
        <f t="shared" si="17"/>
        <v>59.869565217391354</v>
      </c>
      <c r="BL38" s="2">
        <f t="shared" si="18"/>
        <v>0</v>
      </c>
      <c r="BM38" s="1">
        <f t="shared" si="19"/>
        <v>41284.256086956557</v>
      </c>
      <c r="BN38" s="2">
        <v>0.27172413793103445</v>
      </c>
      <c r="BO38" s="2">
        <f t="shared" si="20"/>
        <v>51.355862068965507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f t="shared" si="21"/>
        <v>0</v>
      </c>
      <c r="CA38" s="2">
        <f t="shared" si="22"/>
        <v>0</v>
      </c>
      <c r="CB38" s="1">
        <f t="shared" si="23"/>
        <v>70521.86979310344</v>
      </c>
      <c r="CC38" s="2">
        <v>0.100529100529101</v>
      </c>
      <c r="CD38" s="2">
        <v>0</v>
      </c>
      <c r="CE38" s="2">
        <f t="shared" si="24"/>
        <v>7.660000000000089</v>
      </c>
      <c r="CF38" s="2">
        <f t="shared" si="25"/>
        <v>0</v>
      </c>
      <c r="CG38" s="1">
        <f t="shared" si="26"/>
        <v>8606.2398000000994</v>
      </c>
      <c r="CH38" s="2">
        <v>152181.76000000001</v>
      </c>
      <c r="CI38" s="2">
        <v>22650</v>
      </c>
      <c r="CJ38" s="1">
        <f t="shared" si="27"/>
        <v>832545</v>
      </c>
      <c r="CK38" s="2">
        <f t="shared" si="28"/>
        <v>0</v>
      </c>
      <c r="CL38" s="2">
        <v>1226450.4602999999</v>
      </c>
      <c r="CM38" s="22">
        <v>30234.6302</v>
      </c>
      <c r="CN38" s="22">
        <v>22650</v>
      </c>
      <c r="CO38" s="2">
        <f t="shared" si="29"/>
        <v>152181.76000000001</v>
      </c>
      <c r="CP38" s="2">
        <f t="shared" si="30"/>
        <v>1081853.3304999999</v>
      </c>
      <c r="CQ38" s="2">
        <v>174</v>
      </c>
      <c r="CR38" s="2">
        <f t="shared" si="31"/>
        <v>6217.5478764367808</v>
      </c>
      <c r="CS38" s="2">
        <f t="shared" si="32"/>
        <v>6228.1177078267237</v>
      </c>
      <c r="CT38" s="2">
        <f t="shared" si="33"/>
        <v>1177114.2467792507</v>
      </c>
      <c r="CU38" s="2">
        <f t="shared" si="34"/>
        <v>22650</v>
      </c>
      <c r="CV38" s="2">
        <f t="shared" si="35"/>
        <v>152181.76000000001</v>
      </c>
      <c r="CW38" s="2">
        <f t="shared" si="36"/>
        <v>1351946.0067792507</v>
      </c>
      <c r="CX38" s="1">
        <f t="shared" si="37"/>
        <v>0</v>
      </c>
      <c r="CY38" s="1">
        <f t="shared" si="38"/>
        <v>1360480.0156800603</v>
      </c>
      <c r="CZ38" s="2">
        <v>1</v>
      </c>
      <c r="DA38" s="2">
        <f t="shared" si="39"/>
        <v>2271.7799999999997</v>
      </c>
      <c r="DB38" s="2">
        <f t="shared" si="40"/>
        <v>5148.7826086956566</v>
      </c>
      <c r="DC38" s="2">
        <f t="shared" si="41"/>
        <v>638.81999999999994</v>
      </c>
      <c r="DD38" s="2">
        <f t="shared" si="42"/>
        <v>570.78</v>
      </c>
      <c r="DE38" s="2">
        <f t="shared" si="43"/>
        <v>1663.2</v>
      </c>
      <c r="DF38" s="2">
        <f t="shared" si="44"/>
        <v>4932.9000000000005</v>
      </c>
      <c r="DG38" s="1">
        <f t="shared" si="45"/>
        <v>15226.262608695659</v>
      </c>
      <c r="DH38" s="1">
        <f t="shared" si="46"/>
        <v>422573.22568006016</v>
      </c>
      <c r="DI38" s="9">
        <v>1</v>
      </c>
      <c r="DJ38" s="23">
        <v>5.36</v>
      </c>
      <c r="DK38" s="24">
        <v>0.25</v>
      </c>
      <c r="DL38" s="24">
        <v>0.16</v>
      </c>
      <c r="DM38" s="24">
        <v>0.45</v>
      </c>
      <c r="DN38" s="24">
        <v>0</v>
      </c>
      <c r="DO38" s="25">
        <v>6.22</v>
      </c>
      <c r="DP38" s="9">
        <v>7283</v>
      </c>
      <c r="DQ38" s="9">
        <v>8700</v>
      </c>
      <c r="DR38" s="9">
        <v>0</v>
      </c>
      <c r="DS38" s="9" t="str">
        <f t="shared" si="47"/>
        <v>6446227</v>
      </c>
      <c r="DT38" s="9">
        <f t="shared" si="48"/>
        <v>40881.014200000005</v>
      </c>
      <c r="DU38" s="26"/>
      <c r="DV38" s="9"/>
      <c r="DW38" s="9"/>
      <c r="DX38" s="9">
        <v>1360480.01568006</v>
      </c>
      <c r="DY38" s="9">
        <v>422573.22568006016</v>
      </c>
      <c r="DZ38" s="9">
        <v>1351946.0067792507</v>
      </c>
      <c r="EA38" s="9">
        <v>1360480.01568006</v>
      </c>
      <c r="EB38" s="9">
        <v>15226.262608695659</v>
      </c>
      <c r="EC38" s="9">
        <v>1345253.7530713645</v>
      </c>
      <c r="ED38" s="9">
        <v>5.36</v>
      </c>
      <c r="EE38" s="9">
        <v>0.25</v>
      </c>
      <c r="EF38" s="9">
        <v>0.16</v>
      </c>
      <c r="EG38" s="9">
        <v>0.45</v>
      </c>
      <c r="EH38" s="9">
        <v>0</v>
      </c>
      <c r="EI38" s="9">
        <v>6.22</v>
      </c>
      <c r="EJ38" s="9">
        <v>0</v>
      </c>
      <c r="EK38" s="9">
        <v>40881.014200000005</v>
      </c>
      <c r="EL38" s="9">
        <v>8700</v>
      </c>
      <c r="EM38" s="9">
        <v>7283</v>
      </c>
      <c r="EN38" s="9">
        <v>1403438.3683690962</v>
      </c>
      <c r="EO38" s="9">
        <v>1405511.2442257109</v>
      </c>
      <c r="EP38" s="9">
        <f t="shared" si="63"/>
        <v>0</v>
      </c>
      <c r="EQ38" s="9">
        <f t="shared" si="49"/>
        <v>0</v>
      </c>
      <c r="ER38" s="9">
        <f t="shared" si="50"/>
        <v>0</v>
      </c>
      <c r="ES38" s="9">
        <f t="shared" si="51"/>
        <v>0</v>
      </c>
      <c r="ET38" s="9">
        <f t="shared" si="52"/>
        <v>0</v>
      </c>
      <c r="EU38" s="9">
        <f t="shared" si="53"/>
        <v>0</v>
      </c>
      <c r="EV38" s="9">
        <f t="shared" ref="EV38:FA38" si="214">ROUND(ED38-DJ38,0)</f>
        <v>0</v>
      </c>
      <c r="EW38" s="9">
        <f t="shared" si="214"/>
        <v>0</v>
      </c>
      <c r="EX38" s="9">
        <f t="shared" si="214"/>
        <v>0</v>
      </c>
      <c r="EY38" s="9">
        <f t="shared" si="214"/>
        <v>0</v>
      </c>
      <c r="EZ38" s="9">
        <f t="shared" si="214"/>
        <v>0</v>
      </c>
      <c r="FA38" s="9">
        <f t="shared" si="214"/>
        <v>0</v>
      </c>
      <c r="FB38" s="9">
        <f t="shared" si="55"/>
        <v>0</v>
      </c>
      <c r="FC38" s="9">
        <f t="shared" si="56"/>
        <v>0</v>
      </c>
      <c r="FD38" s="9">
        <f t="shared" si="57"/>
        <v>0</v>
      </c>
      <c r="FE38" s="9">
        <f t="shared" si="58"/>
        <v>0</v>
      </c>
      <c r="FF38" s="9"/>
      <c r="FG38" s="9"/>
      <c r="FH38" s="9"/>
      <c r="FI38" s="27"/>
      <c r="FJ38" s="21">
        <v>5655</v>
      </c>
      <c r="FK38" s="28">
        <v>5070</v>
      </c>
      <c r="FL38" s="28">
        <v>4860</v>
      </c>
      <c r="FM38" s="29">
        <v>2280</v>
      </c>
      <c r="FN38" s="28">
        <v>0</v>
      </c>
      <c r="FO38" s="9"/>
    </row>
    <row r="39" spans="1:171">
      <c r="A39" s="2" t="s">
        <v>242</v>
      </c>
      <c r="B39" s="2">
        <v>100260</v>
      </c>
      <c r="C39" s="2">
        <v>2042872</v>
      </c>
      <c r="D39" s="2" t="s">
        <v>243</v>
      </c>
      <c r="E39" s="2">
        <v>263</v>
      </c>
      <c r="F39" s="2">
        <v>263</v>
      </c>
      <c r="G39" s="2">
        <v>36</v>
      </c>
      <c r="H39" s="2">
        <v>227</v>
      </c>
      <c r="I39" s="2">
        <v>0</v>
      </c>
      <c r="J39" s="2">
        <v>0</v>
      </c>
      <c r="K39" s="2">
        <v>0</v>
      </c>
      <c r="L39" s="2">
        <v>0</v>
      </c>
      <c r="M39" s="1">
        <f t="shared" si="5"/>
        <v>1214271</v>
      </c>
      <c r="N39" s="2">
        <v>0.448669201520913</v>
      </c>
      <c r="O39" s="2">
        <v>0</v>
      </c>
      <c r="P39" s="2">
        <f t="shared" si="6"/>
        <v>118.00000000000011</v>
      </c>
      <c r="Q39" s="2">
        <f t="shared" si="7"/>
        <v>0</v>
      </c>
      <c r="R39" s="1">
        <f t="shared" si="8"/>
        <v>67340.240000000063</v>
      </c>
      <c r="S39" s="2">
        <v>0.45627376425855498</v>
      </c>
      <c r="T39" s="2">
        <v>0</v>
      </c>
      <c r="U39" s="2">
        <f t="shared" si="9"/>
        <v>119.99999999999996</v>
      </c>
      <c r="V39" s="2">
        <f t="shared" si="10"/>
        <v>0</v>
      </c>
      <c r="W39" s="1">
        <f t="shared" si="11"/>
        <v>100582.79999999997</v>
      </c>
      <c r="X39" s="2">
        <v>0.19011406844106499</v>
      </c>
      <c r="Y39" s="2">
        <v>0.27756653992395403</v>
      </c>
      <c r="Z39" s="2">
        <v>0.159695817490494</v>
      </c>
      <c r="AA39" s="2">
        <v>0.23193916349809901</v>
      </c>
      <c r="AB39" s="2">
        <v>7.6045627376425895E-2</v>
      </c>
      <c r="AC39" s="2">
        <v>7.6045627376425898E-3</v>
      </c>
      <c r="AD39" s="2">
        <f t="shared" ref="AD39:AI39" si="215">$F39*X39</f>
        <v>50.000000000000092</v>
      </c>
      <c r="AE39" s="2">
        <f t="shared" si="215"/>
        <v>72.999999999999915</v>
      </c>
      <c r="AF39" s="2">
        <f t="shared" si="215"/>
        <v>41.999999999999922</v>
      </c>
      <c r="AG39" s="2">
        <f t="shared" si="215"/>
        <v>61.000000000000043</v>
      </c>
      <c r="AH39" s="2">
        <f t="shared" si="215"/>
        <v>20.000000000000011</v>
      </c>
      <c r="AI39" s="2">
        <f t="shared" si="215"/>
        <v>2.0000000000000013</v>
      </c>
      <c r="AJ39" s="1">
        <f t="shared" ref="AJ39:AO39" si="216">AD39*AJ$3</f>
        <v>13672.500000000025</v>
      </c>
      <c r="AK39" s="1">
        <f t="shared" si="216"/>
        <v>24301.699999999972</v>
      </c>
      <c r="AL39" s="1">
        <f t="shared" si="216"/>
        <v>21971.039999999961</v>
      </c>
      <c r="AM39" s="1">
        <f t="shared" si="216"/>
        <v>34811.480000000018</v>
      </c>
      <c r="AN39" s="1">
        <f t="shared" si="216"/>
        <v>12127.000000000007</v>
      </c>
      <c r="AO39" s="1">
        <f t="shared" si="216"/>
        <v>1593.1600000000012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f t="shared" ref="AV39:BA39" si="217">$I39*AP39</f>
        <v>0</v>
      </c>
      <c r="AW39" s="2">
        <f t="shared" si="217"/>
        <v>0</v>
      </c>
      <c r="AX39" s="2">
        <f t="shared" si="217"/>
        <v>0</v>
      </c>
      <c r="AY39" s="2">
        <f t="shared" si="217"/>
        <v>0</v>
      </c>
      <c r="AZ39" s="2">
        <f t="shared" si="217"/>
        <v>0</v>
      </c>
      <c r="BA39" s="2">
        <f t="shared" si="217"/>
        <v>0</v>
      </c>
      <c r="BB39" s="1">
        <f t="shared" ref="BB39:BG39" si="218">AV39*BB$4</f>
        <v>0</v>
      </c>
      <c r="BC39" s="1">
        <f t="shared" si="218"/>
        <v>0</v>
      </c>
      <c r="BD39" s="1">
        <f t="shared" si="218"/>
        <v>0</v>
      </c>
      <c r="BE39" s="1">
        <f t="shared" si="218"/>
        <v>0</v>
      </c>
      <c r="BF39" s="1">
        <f t="shared" si="218"/>
        <v>0</v>
      </c>
      <c r="BG39" s="1">
        <f t="shared" si="218"/>
        <v>0</v>
      </c>
      <c r="BH39" s="1">
        <f t="shared" si="16"/>
        <v>108476.87999999998</v>
      </c>
      <c r="BI39" s="2">
        <v>0.29955947136563899</v>
      </c>
      <c r="BJ39" s="2">
        <v>0</v>
      </c>
      <c r="BK39" s="2">
        <f t="shared" si="17"/>
        <v>78.784140969163047</v>
      </c>
      <c r="BL39" s="2">
        <f t="shared" si="18"/>
        <v>0</v>
      </c>
      <c r="BM39" s="1">
        <f t="shared" si="19"/>
        <v>54327.180088105764</v>
      </c>
      <c r="BN39" s="2">
        <v>0.26333059885151761</v>
      </c>
      <c r="BO39" s="2">
        <f t="shared" si="20"/>
        <v>69.255947497949137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f t="shared" si="21"/>
        <v>0</v>
      </c>
      <c r="CA39" s="2">
        <f t="shared" si="22"/>
        <v>0</v>
      </c>
      <c r="CB39" s="1">
        <f t="shared" si="23"/>
        <v>95102.26710418376</v>
      </c>
      <c r="CC39" s="2">
        <v>7.9847908745247206E-2</v>
      </c>
      <c r="CD39" s="2">
        <v>0</v>
      </c>
      <c r="CE39" s="2">
        <f t="shared" si="24"/>
        <v>5.2200000000000157</v>
      </c>
      <c r="CF39" s="2">
        <f t="shared" si="25"/>
        <v>0</v>
      </c>
      <c r="CG39" s="1">
        <f t="shared" si="26"/>
        <v>5864.8266000000176</v>
      </c>
      <c r="CH39" s="2">
        <v>152181.76000000001</v>
      </c>
      <c r="CI39" s="2">
        <v>36296</v>
      </c>
      <c r="CJ39" s="1">
        <f t="shared" si="27"/>
        <v>1158515</v>
      </c>
      <c r="CK39" s="2">
        <f t="shared" si="28"/>
        <v>0</v>
      </c>
      <c r="CL39" s="2">
        <v>1924457.6466000001</v>
      </c>
      <c r="CM39" s="22">
        <v>50208.370999999999</v>
      </c>
      <c r="CN39" s="22">
        <v>36296</v>
      </c>
      <c r="CO39" s="2">
        <f t="shared" si="29"/>
        <v>152181.76000000001</v>
      </c>
      <c r="CP39" s="2">
        <f t="shared" si="30"/>
        <v>1786188.2576000001</v>
      </c>
      <c r="CQ39" s="2">
        <v>288</v>
      </c>
      <c r="CR39" s="2">
        <f t="shared" si="31"/>
        <v>6202.0425611111114</v>
      </c>
      <c r="CS39" s="2">
        <f t="shared" si="32"/>
        <v>6212.5860334650006</v>
      </c>
      <c r="CT39" s="2">
        <f t="shared" si="33"/>
        <v>1633910.1268012952</v>
      </c>
      <c r="CU39" s="2">
        <f t="shared" si="34"/>
        <v>36296</v>
      </c>
      <c r="CV39" s="2">
        <f t="shared" si="35"/>
        <v>152181.76000000001</v>
      </c>
      <c r="CW39" s="2">
        <f t="shared" si="36"/>
        <v>1822387.8868012952</v>
      </c>
      <c r="CX39" s="1">
        <f t="shared" si="37"/>
        <v>0</v>
      </c>
      <c r="CY39" s="1">
        <f t="shared" si="38"/>
        <v>1834442.9537922896</v>
      </c>
      <c r="CZ39" s="2">
        <v>1</v>
      </c>
      <c r="DA39" s="2">
        <f t="shared" si="39"/>
        <v>3161.2599999999998</v>
      </c>
      <c r="DB39" s="2">
        <f t="shared" si="40"/>
        <v>6775.4361233480222</v>
      </c>
      <c r="DC39" s="2">
        <f t="shared" si="41"/>
        <v>888.93999999999994</v>
      </c>
      <c r="DD39" s="2">
        <f t="shared" si="42"/>
        <v>794.26</v>
      </c>
      <c r="DE39" s="2">
        <f t="shared" si="43"/>
        <v>2314.4</v>
      </c>
      <c r="DF39" s="2">
        <f t="shared" si="44"/>
        <v>6864.3</v>
      </c>
      <c r="DG39" s="1">
        <f t="shared" si="45"/>
        <v>20798.596123348023</v>
      </c>
      <c r="DH39" s="1">
        <f t="shared" si="46"/>
        <v>570780.02379228955</v>
      </c>
      <c r="DI39" s="9">
        <v>1</v>
      </c>
      <c r="DJ39" s="23">
        <v>5.36</v>
      </c>
      <c r="DK39" s="24">
        <v>0.44</v>
      </c>
      <c r="DL39" s="24">
        <v>0.16</v>
      </c>
      <c r="DM39" s="24">
        <v>0.45</v>
      </c>
      <c r="DN39" s="24">
        <v>0</v>
      </c>
      <c r="DO39" s="25">
        <v>6.41</v>
      </c>
      <c r="DP39" s="9">
        <v>7725</v>
      </c>
      <c r="DQ39" s="9">
        <v>18125</v>
      </c>
      <c r="DR39" s="9">
        <v>0</v>
      </c>
      <c r="DS39" s="9" t="str">
        <f t="shared" si="47"/>
        <v>8516333</v>
      </c>
      <c r="DT39" s="9">
        <f t="shared" si="48"/>
        <v>57409.380039999996</v>
      </c>
      <c r="DU39" s="26"/>
      <c r="DV39" s="9"/>
      <c r="DW39" s="9"/>
      <c r="DX39" s="9">
        <v>1834442.9537922896</v>
      </c>
      <c r="DY39" s="9">
        <v>570780.02379228955</v>
      </c>
      <c r="DZ39" s="9">
        <v>1822387.8868012952</v>
      </c>
      <c r="EA39" s="9">
        <v>1834442.9537922896</v>
      </c>
      <c r="EB39" s="9">
        <v>20798.596123348023</v>
      </c>
      <c r="EC39" s="9">
        <v>1813644.3576689416</v>
      </c>
      <c r="ED39" s="9">
        <v>5.36</v>
      </c>
      <c r="EE39" s="9">
        <v>0.44</v>
      </c>
      <c r="EF39" s="9">
        <v>0.16</v>
      </c>
      <c r="EG39" s="9">
        <v>0.45</v>
      </c>
      <c r="EH39" s="9">
        <v>0</v>
      </c>
      <c r="EI39" s="9">
        <v>6.41</v>
      </c>
      <c r="EJ39" s="9">
        <v>0</v>
      </c>
      <c r="EK39" s="9">
        <v>57409.380040000004</v>
      </c>
      <c r="EL39" s="9">
        <v>18125</v>
      </c>
      <c r="EM39" s="9">
        <v>7725</v>
      </c>
      <c r="EN39" s="9">
        <v>1894740.3093380446</v>
      </c>
      <c r="EO39" s="9">
        <v>1897625.2002943067</v>
      </c>
      <c r="EP39" s="9">
        <f t="shared" si="63"/>
        <v>0</v>
      </c>
      <c r="EQ39" s="9">
        <f t="shared" si="49"/>
        <v>0</v>
      </c>
      <c r="ER39" s="9">
        <f t="shared" si="50"/>
        <v>0</v>
      </c>
      <c r="ES39" s="9">
        <f t="shared" si="51"/>
        <v>0</v>
      </c>
      <c r="ET39" s="9">
        <f t="shared" si="52"/>
        <v>0</v>
      </c>
      <c r="EU39" s="9">
        <f t="shared" si="53"/>
        <v>0</v>
      </c>
      <c r="EV39" s="9">
        <f t="shared" ref="EV39:FA39" si="219">ROUND(ED39-DJ39,0)</f>
        <v>0</v>
      </c>
      <c r="EW39" s="9">
        <f t="shared" si="219"/>
        <v>0</v>
      </c>
      <c r="EX39" s="9">
        <f t="shared" si="219"/>
        <v>0</v>
      </c>
      <c r="EY39" s="9">
        <f t="shared" si="219"/>
        <v>0</v>
      </c>
      <c r="EZ39" s="9">
        <f t="shared" si="219"/>
        <v>0</v>
      </c>
      <c r="FA39" s="9">
        <f t="shared" si="219"/>
        <v>0</v>
      </c>
      <c r="FB39" s="9">
        <f t="shared" si="55"/>
        <v>0</v>
      </c>
      <c r="FC39" s="9">
        <f t="shared" si="56"/>
        <v>0</v>
      </c>
      <c r="FD39" s="9">
        <f t="shared" si="57"/>
        <v>0</v>
      </c>
      <c r="FE39" s="9">
        <f t="shared" si="58"/>
        <v>0</v>
      </c>
      <c r="FF39" s="9"/>
      <c r="FG39" s="9"/>
      <c r="FH39" s="9"/>
      <c r="FI39" s="27"/>
      <c r="FJ39" s="21">
        <v>11700</v>
      </c>
      <c r="FK39" s="28">
        <v>6435</v>
      </c>
      <c r="FL39" s="28">
        <v>7740</v>
      </c>
      <c r="FM39" s="29">
        <v>7980</v>
      </c>
      <c r="FN39" s="28">
        <v>0</v>
      </c>
      <c r="FO39" s="9"/>
    </row>
    <row r="40" spans="1:171">
      <c r="A40" s="2" t="s">
        <v>244</v>
      </c>
      <c r="B40" s="2">
        <v>100261</v>
      </c>
      <c r="C40" s="2">
        <v>2042896</v>
      </c>
      <c r="D40" s="2" t="s">
        <v>245</v>
      </c>
      <c r="E40" s="2">
        <v>215</v>
      </c>
      <c r="F40" s="2">
        <v>215</v>
      </c>
      <c r="G40" s="2">
        <v>30</v>
      </c>
      <c r="H40" s="2">
        <v>185</v>
      </c>
      <c r="I40" s="2">
        <v>0</v>
      </c>
      <c r="J40" s="2">
        <v>0</v>
      </c>
      <c r="K40" s="2">
        <v>0</v>
      </c>
      <c r="L40" s="2">
        <v>2</v>
      </c>
      <c r="M40" s="1">
        <f t="shared" si="5"/>
        <v>992655</v>
      </c>
      <c r="N40" s="2">
        <v>0.59069767441860499</v>
      </c>
      <c r="O40" s="2">
        <v>0</v>
      </c>
      <c r="P40" s="2">
        <f t="shared" si="6"/>
        <v>127.00000000000007</v>
      </c>
      <c r="Q40" s="2">
        <f t="shared" si="7"/>
        <v>0</v>
      </c>
      <c r="R40" s="1">
        <f t="shared" si="8"/>
        <v>72476.36000000003</v>
      </c>
      <c r="S40" s="2">
        <v>0.60465116279069797</v>
      </c>
      <c r="T40" s="2">
        <v>0</v>
      </c>
      <c r="U40" s="2">
        <f t="shared" si="9"/>
        <v>130.00000000000006</v>
      </c>
      <c r="V40" s="2">
        <f t="shared" si="10"/>
        <v>0</v>
      </c>
      <c r="W40" s="1">
        <f t="shared" si="11"/>
        <v>108964.70000000006</v>
      </c>
      <c r="X40" s="2">
        <v>0.10849056603773601</v>
      </c>
      <c r="Y40" s="2">
        <v>0.259433962264151</v>
      </c>
      <c r="Z40" s="2">
        <v>0.30660377358490598</v>
      </c>
      <c r="AA40" s="2">
        <v>0.10377358490565999</v>
      </c>
      <c r="AB40" s="2">
        <v>0.13679245283018901</v>
      </c>
      <c r="AC40" s="2">
        <v>4.2452830188679201E-2</v>
      </c>
      <c r="AD40" s="2">
        <f t="shared" ref="AD40:AI40" si="220">$F40*X40</f>
        <v>23.32547169811324</v>
      </c>
      <c r="AE40" s="2">
        <f t="shared" si="220"/>
        <v>55.778301886792462</v>
      </c>
      <c r="AF40" s="2">
        <f t="shared" si="220"/>
        <v>65.919811320754789</v>
      </c>
      <c r="AG40" s="2">
        <f t="shared" si="220"/>
        <v>22.311320754716899</v>
      </c>
      <c r="AH40" s="2">
        <f t="shared" si="220"/>
        <v>29.410377358490638</v>
      </c>
      <c r="AI40" s="2">
        <f t="shared" si="220"/>
        <v>9.1273584905660279</v>
      </c>
      <c r="AJ40" s="1">
        <f t="shared" ref="AJ40:AO40" si="221">AD40*AJ$3</f>
        <v>6378.350235849065</v>
      </c>
      <c r="AK40" s="1">
        <f t="shared" si="221"/>
        <v>18568.596698113208</v>
      </c>
      <c r="AL40" s="1">
        <f t="shared" si="221"/>
        <v>34483.971698113244</v>
      </c>
      <c r="AM40" s="1">
        <f t="shared" si="221"/>
        <v>12732.624528301838</v>
      </c>
      <c r="AN40" s="1">
        <f t="shared" si="221"/>
        <v>17832.9823113208</v>
      </c>
      <c r="AO40" s="1">
        <f t="shared" si="221"/>
        <v>7270.6712264150865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f t="shared" ref="AV40:BA40" si="222">$I40*AP40</f>
        <v>0</v>
      </c>
      <c r="AW40" s="2">
        <f t="shared" si="222"/>
        <v>0</v>
      </c>
      <c r="AX40" s="2">
        <f t="shared" si="222"/>
        <v>0</v>
      </c>
      <c r="AY40" s="2">
        <f t="shared" si="222"/>
        <v>0</v>
      </c>
      <c r="AZ40" s="2">
        <f t="shared" si="222"/>
        <v>0</v>
      </c>
      <c r="BA40" s="2">
        <f t="shared" si="222"/>
        <v>0</v>
      </c>
      <c r="BB40" s="1">
        <f t="shared" ref="BB40:BG40" si="223">AV40*BB$4</f>
        <v>0</v>
      </c>
      <c r="BC40" s="1">
        <f t="shared" si="223"/>
        <v>0</v>
      </c>
      <c r="BD40" s="1">
        <f t="shared" si="223"/>
        <v>0</v>
      </c>
      <c r="BE40" s="1">
        <f t="shared" si="223"/>
        <v>0</v>
      </c>
      <c r="BF40" s="1">
        <f t="shared" si="223"/>
        <v>0</v>
      </c>
      <c r="BG40" s="1">
        <f t="shared" si="223"/>
        <v>0</v>
      </c>
      <c r="BH40" s="1">
        <f t="shared" si="16"/>
        <v>97267.196698113243</v>
      </c>
      <c r="BI40" s="2">
        <v>0.29729729729729698</v>
      </c>
      <c r="BJ40" s="2">
        <v>0</v>
      </c>
      <c r="BK40" s="2">
        <f t="shared" si="17"/>
        <v>63.918918918918848</v>
      </c>
      <c r="BL40" s="2">
        <f t="shared" si="18"/>
        <v>0</v>
      </c>
      <c r="BM40" s="1">
        <f t="shared" si="19"/>
        <v>44076.568918918871</v>
      </c>
      <c r="BN40" s="2">
        <v>0.2602636534839925</v>
      </c>
      <c r="BO40" s="2">
        <f t="shared" si="20"/>
        <v>55.956685499058388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f t="shared" si="21"/>
        <v>0</v>
      </c>
      <c r="CA40" s="2">
        <f t="shared" si="22"/>
        <v>0</v>
      </c>
      <c r="CB40" s="1">
        <f t="shared" si="23"/>
        <v>76839.720527306985</v>
      </c>
      <c r="CC40" s="2">
        <v>2.7906976744186001E-2</v>
      </c>
      <c r="CD40" s="2">
        <v>0</v>
      </c>
      <c r="CE40" s="2">
        <f t="shared" si="24"/>
        <v>0</v>
      </c>
      <c r="CF40" s="2">
        <f t="shared" si="25"/>
        <v>0</v>
      </c>
      <c r="CG40" s="1">
        <f t="shared" si="26"/>
        <v>0</v>
      </c>
      <c r="CH40" s="2">
        <v>152181.76000000001</v>
      </c>
      <c r="CI40" s="2">
        <v>34207</v>
      </c>
      <c r="CJ40" s="1">
        <f t="shared" si="27"/>
        <v>947075</v>
      </c>
      <c r="CK40" s="2">
        <f t="shared" si="28"/>
        <v>0</v>
      </c>
      <c r="CL40" s="2">
        <v>1526011.1514999999</v>
      </c>
      <c r="CM40" s="22">
        <v>42659.203300000001</v>
      </c>
      <c r="CN40" s="22">
        <v>34207</v>
      </c>
      <c r="CO40" s="2">
        <f t="shared" si="29"/>
        <v>152181.76000000001</v>
      </c>
      <c r="CP40" s="2">
        <f t="shared" si="30"/>
        <v>1382281.5947999998</v>
      </c>
      <c r="CQ40" s="2">
        <v>211</v>
      </c>
      <c r="CR40" s="2">
        <f t="shared" si="31"/>
        <v>6551.0976056872032</v>
      </c>
      <c r="CS40" s="2">
        <f t="shared" si="32"/>
        <v>6562.2344716168718</v>
      </c>
      <c r="CT40" s="2">
        <f t="shared" si="33"/>
        <v>1410880.4113976276</v>
      </c>
      <c r="CU40" s="2">
        <f t="shared" si="34"/>
        <v>34207</v>
      </c>
      <c r="CV40" s="2">
        <f t="shared" si="35"/>
        <v>152181.76000000001</v>
      </c>
      <c r="CW40" s="2">
        <f t="shared" si="36"/>
        <v>1597269.1713976276</v>
      </c>
      <c r="CX40" s="1">
        <f t="shared" si="37"/>
        <v>18600.865253288444</v>
      </c>
      <c r="CY40" s="1">
        <f t="shared" si="38"/>
        <v>1597269.1713976278</v>
      </c>
      <c r="CZ40" s="2">
        <v>1</v>
      </c>
      <c r="DA40" s="2">
        <f t="shared" si="39"/>
        <v>2584.2999999999997</v>
      </c>
      <c r="DB40" s="2">
        <f t="shared" si="40"/>
        <v>5497.0270270270212</v>
      </c>
      <c r="DC40" s="2">
        <f t="shared" si="41"/>
        <v>726.69999999999993</v>
      </c>
      <c r="DD40" s="2">
        <f t="shared" si="42"/>
        <v>649.29999999999995</v>
      </c>
      <c r="DE40" s="2">
        <f t="shared" si="43"/>
        <v>1892.0000000000002</v>
      </c>
      <c r="DF40" s="2">
        <f t="shared" si="44"/>
        <v>5611.5</v>
      </c>
      <c r="DG40" s="1">
        <f t="shared" si="45"/>
        <v>16960.827027027022</v>
      </c>
      <c r="DH40" s="1">
        <f t="shared" si="46"/>
        <v>495899.53614433913</v>
      </c>
      <c r="DI40" s="9">
        <v>1</v>
      </c>
      <c r="DJ40" s="23">
        <v>5.36</v>
      </c>
      <c r="DK40" s="24">
        <v>0.61</v>
      </c>
      <c r="DL40" s="24">
        <v>0.15</v>
      </c>
      <c r="DM40" s="24">
        <v>0.45</v>
      </c>
      <c r="DN40" s="24">
        <v>0</v>
      </c>
      <c r="DO40" s="25">
        <v>6.56</v>
      </c>
      <c r="DP40" s="9">
        <v>7437</v>
      </c>
      <c r="DQ40" s="9">
        <v>20155</v>
      </c>
      <c r="DR40" s="9">
        <v>0</v>
      </c>
      <c r="DS40" s="9" t="str">
        <f t="shared" si="47"/>
        <v>7156743</v>
      </c>
      <c r="DT40" s="9">
        <f t="shared" si="48"/>
        <v>51854.745800000004</v>
      </c>
      <c r="DU40" s="26"/>
      <c r="DV40" s="9"/>
      <c r="DW40" s="9"/>
      <c r="DX40" s="9">
        <v>1578668.3061443393</v>
      </c>
      <c r="DY40" s="9">
        <v>495899.53614433913</v>
      </c>
      <c r="DZ40" s="9">
        <v>1597269.1713976276</v>
      </c>
      <c r="EA40" s="9">
        <v>1597269.1713976276</v>
      </c>
      <c r="EB40" s="9">
        <v>16960.827027027022</v>
      </c>
      <c r="EC40" s="9">
        <v>1580308.3443706005</v>
      </c>
      <c r="ED40" s="9">
        <v>5.36</v>
      </c>
      <c r="EE40" s="9">
        <v>0.61</v>
      </c>
      <c r="EF40" s="9">
        <v>0.15</v>
      </c>
      <c r="EG40" s="9">
        <v>0.45</v>
      </c>
      <c r="EH40" s="9">
        <v>0</v>
      </c>
      <c r="EI40" s="9">
        <v>6.56</v>
      </c>
      <c r="EJ40" s="9">
        <v>0</v>
      </c>
      <c r="EK40" s="9">
        <v>51854.745800000012</v>
      </c>
      <c r="EL40" s="9">
        <v>20155</v>
      </c>
      <c r="EM40" s="9">
        <v>7437</v>
      </c>
      <c r="EN40" s="9">
        <v>1651602.8056951035</v>
      </c>
      <c r="EO40" s="9">
        <v>1654077.9141951725</v>
      </c>
      <c r="EP40" s="9">
        <f t="shared" si="63"/>
        <v>0</v>
      </c>
      <c r="EQ40" s="9">
        <f t="shared" si="49"/>
        <v>0</v>
      </c>
      <c r="ER40" s="9">
        <f t="shared" si="50"/>
        <v>0</v>
      </c>
      <c r="ES40" s="9">
        <f t="shared" si="51"/>
        <v>0</v>
      </c>
      <c r="ET40" s="9">
        <f t="shared" si="52"/>
        <v>0</v>
      </c>
      <c r="EU40" s="9">
        <f t="shared" si="53"/>
        <v>0</v>
      </c>
      <c r="EV40" s="9">
        <f t="shared" ref="EV40:FA40" si="224">ROUND(ED40-DJ40,0)</f>
        <v>0</v>
      </c>
      <c r="EW40" s="9">
        <f t="shared" si="224"/>
        <v>0</v>
      </c>
      <c r="EX40" s="9">
        <f t="shared" si="224"/>
        <v>0</v>
      </c>
      <c r="EY40" s="9">
        <f t="shared" si="224"/>
        <v>0</v>
      </c>
      <c r="EZ40" s="9">
        <f t="shared" si="224"/>
        <v>0</v>
      </c>
      <c r="FA40" s="9">
        <f t="shared" si="224"/>
        <v>0</v>
      </c>
      <c r="FB40" s="9">
        <f t="shared" si="55"/>
        <v>0</v>
      </c>
      <c r="FC40" s="9">
        <f t="shared" si="56"/>
        <v>0</v>
      </c>
      <c r="FD40" s="9">
        <f t="shared" si="57"/>
        <v>0</v>
      </c>
      <c r="FE40" s="9">
        <f t="shared" si="58"/>
        <v>0</v>
      </c>
      <c r="FF40" s="9"/>
      <c r="FG40" s="9"/>
      <c r="FH40" s="9"/>
      <c r="FI40" s="27"/>
      <c r="FJ40" s="21">
        <v>8385</v>
      </c>
      <c r="FK40" s="28">
        <v>5070</v>
      </c>
      <c r="FL40" s="28">
        <v>6840</v>
      </c>
      <c r="FM40" s="29">
        <v>8550</v>
      </c>
      <c r="FN40" s="28">
        <v>0</v>
      </c>
      <c r="FO40" s="9"/>
    </row>
    <row r="41" spans="1:171">
      <c r="A41" s="2" t="s">
        <v>246</v>
      </c>
      <c r="B41" s="2">
        <v>130932</v>
      </c>
      <c r="C41" s="2">
        <v>2042897</v>
      </c>
      <c r="D41" s="2" t="s">
        <v>247</v>
      </c>
      <c r="E41" s="2">
        <v>414</v>
      </c>
      <c r="F41" s="2">
        <v>414</v>
      </c>
      <c r="G41" s="2">
        <v>58</v>
      </c>
      <c r="H41" s="2">
        <v>356</v>
      </c>
      <c r="I41" s="2">
        <v>0</v>
      </c>
      <c r="J41" s="2">
        <v>0</v>
      </c>
      <c r="K41" s="2">
        <v>0</v>
      </c>
      <c r="L41" s="2">
        <v>1</v>
      </c>
      <c r="M41" s="1">
        <f t="shared" si="5"/>
        <v>1911438</v>
      </c>
      <c r="N41" s="2">
        <v>0.106280193236715</v>
      </c>
      <c r="O41" s="2">
        <v>0</v>
      </c>
      <c r="P41" s="2">
        <f t="shared" si="6"/>
        <v>44.000000000000014</v>
      </c>
      <c r="Q41" s="2">
        <f t="shared" si="7"/>
        <v>0</v>
      </c>
      <c r="R41" s="1">
        <f t="shared" si="8"/>
        <v>25109.920000000006</v>
      </c>
      <c r="S41" s="2">
        <v>0.108695652173913</v>
      </c>
      <c r="T41" s="2">
        <v>0</v>
      </c>
      <c r="U41" s="2">
        <f t="shared" si="9"/>
        <v>44.999999999999979</v>
      </c>
      <c r="V41" s="2">
        <f t="shared" si="10"/>
        <v>0</v>
      </c>
      <c r="W41" s="1">
        <f t="shared" si="11"/>
        <v>37718.549999999981</v>
      </c>
      <c r="X41" s="2">
        <v>0.23913043478260901</v>
      </c>
      <c r="Y41" s="2">
        <v>0.173913043478261</v>
      </c>
      <c r="Z41" s="2">
        <v>1.69082125603865E-2</v>
      </c>
      <c r="AA41" s="2">
        <v>4.10628019323672E-2</v>
      </c>
      <c r="AB41" s="2">
        <v>3.6231884057971002E-2</v>
      </c>
      <c r="AC41" s="2">
        <v>0</v>
      </c>
      <c r="AD41" s="2">
        <f t="shared" ref="AD41:AI41" si="225">$F41*X41</f>
        <v>99.000000000000128</v>
      </c>
      <c r="AE41" s="2">
        <f t="shared" si="225"/>
        <v>72.000000000000057</v>
      </c>
      <c r="AF41" s="2">
        <f t="shared" si="225"/>
        <v>7.0000000000000107</v>
      </c>
      <c r="AG41" s="2">
        <f t="shared" si="225"/>
        <v>17.000000000000021</v>
      </c>
      <c r="AH41" s="2">
        <f t="shared" si="225"/>
        <v>14.999999999999995</v>
      </c>
      <c r="AI41" s="2">
        <f t="shared" si="225"/>
        <v>0</v>
      </c>
      <c r="AJ41" s="1">
        <f t="shared" ref="AJ41:AO41" si="226">AD41*AJ$3</f>
        <v>27071.550000000036</v>
      </c>
      <c r="AK41" s="1">
        <f t="shared" si="226"/>
        <v>23968.800000000017</v>
      </c>
      <c r="AL41" s="1">
        <f t="shared" si="226"/>
        <v>3661.8400000000056</v>
      </c>
      <c r="AM41" s="1">
        <f t="shared" si="226"/>
        <v>9701.5600000000122</v>
      </c>
      <c r="AN41" s="1">
        <f t="shared" si="226"/>
        <v>9095.2499999999964</v>
      </c>
      <c r="AO41" s="1">
        <f t="shared" si="226"/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f t="shared" ref="AV41:BA41" si="227">$I41*AP41</f>
        <v>0</v>
      </c>
      <c r="AW41" s="2">
        <f t="shared" si="227"/>
        <v>0</v>
      </c>
      <c r="AX41" s="2">
        <f t="shared" si="227"/>
        <v>0</v>
      </c>
      <c r="AY41" s="2">
        <f t="shared" si="227"/>
        <v>0</v>
      </c>
      <c r="AZ41" s="2">
        <f t="shared" si="227"/>
        <v>0</v>
      </c>
      <c r="BA41" s="2">
        <f t="shared" si="227"/>
        <v>0</v>
      </c>
      <c r="BB41" s="1">
        <f t="shared" ref="BB41:BG41" si="228">AV41*BB$4</f>
        <v>0</v>
      </c>
      <c r="BC41" s="1">
        <f t="shared" si="228"/>
        <v>0</v>
      </c>
      <c r="BD41" s="1">
        <f t="shared" si="228"/>
        <v>0</v>
      </c>
      <c r="BE41" s="1">
        <f t="shared" si="228"/>
        <v>0</v>
      </c>
      <c r="BF41" s="1">
        <f t="shared" si="228"/>
        <v>0</v>
      </c>
      <c r="BG41" s="1">
        <f t="shared" si="228"/>
        <v>0</v>
      </c>
      <c r="BH41" s="1">
        <f t="shared" si="16"/>
        <v>73499.000000000058</v>
      </c>
      <c r="BI41" s="2">
        <v>0.21910112359550599</v>
      </c>
      <c r="BJ41" s="2">
        <v>0</v>
      </c>
      <c r="BK41" s="2">
        <f t="shared" si="17"/>
        <v>90.707865168539485</v>
      </c>
      <c r="BL41" s="2">
        <f t="shared" si="18"/>
        <v>0</v>
      </c>
      <c r="BM41" s="1">
        <f t="shared" si="19"/>
        <v>62549.422584269778</v>
      </c>
      <c r="BN41" s="2">
        <v>0.21906807835916295</v>
      </c>
      <c r="BO41" s="2">
        <f t="shared" si="20"/>
        <v>90.694184440693462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f t="shared" si="21"/>
        <v>0</v>
      </c>
      <c r="CA41" s="2">
        <f t="shared" si="22"/>
        <v>0</v>
      </c>
      <c r="CB41" s="1">
        <f t="shared" si="23"/>
        <v>124541.25407396027</v>
      </c>
      <c r="CC41" s="2">
        <v>6.2801932367149801E-2</v>
      </c>
      <c r="CD41" s="2">
        <v>0</v>
      </c>
      <c r="CE41" s="2">
        <f t="shared" si="24"/>
        <v>1.1600000000000188</v>
      </c>
      <c r="CF41" s="2">
        <f t="shared" si="25"/>
        <v>0</v>
      </c>
      <c r="CG41" s="1">
        <f t="shared" si="26"/>
        <v>1303.294800000021</v>
      </c>
      <c r="CH41" s="2">
        <v>152181.76000000001</v>
      </c>
      <c r="CI41" s="2">
        <v>32640</v>
      </c>
      <c r="CJ41" s="1">
        <f t="shared" si="27"/>
        <v>1823670</v>
      </c>
      <c r="CK41" s="2">
        <f t="shared" si="28"/>
        <v>0</v>
      </c>
      <c r="CL41" s="2">
        <v>2515108.7275999999</v>
      </c>
      <c r="CM41" s="22">
        <v>56251.026599999997</v>
      </c>
      <c r="CN41" s="22">
        <v>32640</v>
      </c>
      <c r="CO41" s="2">
        <f t="shared" si="29"/>
        <v>152181.76000000001</v>
      </c>
      <c r="CP41" s="2">
        <f t="shared" si="30"/>
        <v>2386537.9941999996</v>
      </c>
      <c r="CQ41" s="2">
        <v>415</v>
      </c>
      <c r="CR41" s="2">
        <f t="shared" si="31"/>
        <v>5750.69396192771</v>
      </c>
      <c r="CS41" s="2">
        <f t="shared" si="32"/>
        <v>5760.4701416629869</v>
      </c>
      <c r="CT41" s="2">
        <f t="shared" si="33"/>
        <v>2384834.6386484765</v>
      </c>
      <c r="CU41" s="2">
        <f t="shared" si="34"/>
        <v>32640</v>
      </c>
      <c r="CV41" s="2">
        <f t="shared" si="35"/>
        <v>152181.76000000001</v>
      </c>
      <c r="CW41" s="2">
        <f t="shared" si="36"/>
        <v>2569656.3986484762</v>
      </c>
      <c r="CX41" s="1">
        <f t="shared" si="37"/>
        <v>148675.19719024608</v>
      </c>
      <c r="CY41" s="1">
        <f t="shared" si="38"/>
        <v>2569656.3986484758</v>
      </c>
      <c r="CZ41" s="2">
        <v>1</v>
      </c>
      <c r="DA41" s="2">
        <f t="shared" si="39"/>
        <v>4976.28</v>
      </c>
      <c r="DB41" s="2">
        <f t="shared" si="40"/>
        <v>7800.8764044943955</v>
      </c>
      <c r="DC41" s="2">
        <f t="shared" si="41"/>
        <v>1399.32</v>
      </c>
      <c r="DD41" s="2">
        <f t="shared" si="42"/>
        <v>1250.28</v>
      </c>
      <c r="DE41" s="2">
        <f t="shared" si="43"/>
        <v>3643.2000000000003</v>
      </c>
      <c r="DF41" s="2">
        <f t="shared" si="44"/>
        <v>10805.400000000001</v>
      </c>
      <c r="DG41" s="1">
        <f t="shared" si="45"/>
        <v>29875.356404494396</v>
      </c>
      <c r="DH41" s="1">
        <f t="shared" si="46"/>
        <v>624555.98145823018</v>
      </c>
      <c r="DI41" s="9">
        <v>1</v>
      </c>
      <c r="DJ41" s="23">
        <v>5.36</v>
      </c>
      <c r="DK41" s="24">
        <v>7.0000000000000007E-2</v>
      </c>
      <c r="DL41" s="24">
        <v>0.1</v>
      </c>
      <c r="DM41" s="24">
        <v>0.45</v>
      </c>
      <c r="DN41" s="24">
        <v>0</v>
      </c>
      <c r="DO41" s="25">
        <v>5.98</v>
      </c>
      <c r="DP41" s="9">
        <v>8142</v>
      </c>
      <c r="DQ41" s="9">
        <v>6960</v>
      </c>
      <c r="DR41" s="9">
        <v>0</v>
      </c>
      <c r="DS41" s="9" t="str">
        <f t="shared" si="47"/>
        <v>7996687</v>
      </c>
      <c r="DT41" s="9">
        <f t="shared" si="48"/>
        <v>69499.507519999999</v>
      </c>
      <c r="DU41" s="26"/>
      <c r="DV41" s="9"/>
      <c r="DW41" s="9"/>
      <c r="DX41" s="9">
        <v>2420981.2014582297</v>
      </c>
      <c r="DY41" s="9">
        <v>624555.98145823018</v>
      </c>
      <c r="DZ41" s="9">
        <v>2569656.3986484762</v>
      </c>
      <c r="EA41" s="9">
        <v>2569656.3986484762</v>
      </c>
      <c r="EB41" s="9">
        <v>29875.356404494396</v>
      </c>
      <c r="EC41" s="9">
        <v>2539781.0422439817</v>
      </c>
      <c r="ED41" s="9">
        <v>5.36</v>
      </c>
      <c r="EE41" s="9">
        <v>7.0000000000000007E-2</v>
      </c>
      <c r="EF41" s="9">
        <v>0.1</v>
      </c>
      <c r="EG41" s="9">
        <v>0.45</v>
      </c>
      <c r="EH41" s="9">
        <v>0</v>
      </c>
      <c r="EI41" s="9">
        <v>5.98</v>
      </c>
      <c r="EJ41" s="9">
        <v>0</v>
      </c>
      <c r="EK41" s="9">
        <v>69499.507519999999</v>
      </c>
      <c r="EL41" s="9">
        <v>6960</v>
      </c>
      <c r="EM41" s="9">
        <v>8142</v>
      </c>
      <c r="EN41" s="9">
        <v>2643320.5129472027</v>
      </c>
      <c r="EO41" s="9">
        <v>2647484.2054496002</v>
      </c>
      <c r="EP41" s="9">
        <f t="shared" si="63"/>
        <v>0</v>
      </c>
      <c r="EQ41" s="9">
        <f t="shared" si="49"/>
        <v>0</v>
      </c>
      <c r="ER41" s="9">
        <f t="shared" si="50"/>
        <v>0</v>
      </c>
      <c r="ES41" s="9">
        <f t="shared" si="51"/>
        <v>0</v>
      </c>
      <c r="ET41" s="9">
        <f t="shared" si="52"/>
        <v>0</v>
      </c>
      <c r="EU41" s="9">
        <f t="shared" si="53"/>
        <v>0</v>
      </c>
      <c r="EV41" s="9">
        <f t="shared" ref="EV41:FA41" si="229">ROUND(ED41-DJ41,0)</f>
        <v>0</v>
      </c>
      <c r="EW41" s="9">
        <f t="shared" si="229"/>
        <v>0</v>
      </c>
      <c r="EX41" s="9">
        <f t="shared" si="229"/>
        <v>0</v>
      </c>
      <c r="EY41" s="9">
        <f t="shared" si="229"/>
        <v>0</v>
      </c>
      <c r="EZ41" s="9">
        <f t="shared" si="229"/>
        <v>0</v>
      </c>
      <c r="FA41" s="9">
        <f t="shared" si="229"/>
        <v>0</v>
      </c>
      <c r="FB41" s="9">
        <f t="shared" si="55"/>
        <v>0</v>
      </c>
      <c r="FC41" s="9">
        <f t="shared" si="56"/>
        <v>0</v>
      </c>
      <c r="FD41" s="9">
        <f t="shared" si="57"/>
        <v>0</v>
      </c>
      <c r="FE41" s="9">
        <f t="shared" si="58"/>
        <v>0</v>
      </c>
      <c r="FF41" s="9"/>
      <c r="FG41" s="9"/>
      <c r="FH41" s="9"/>
      <c r="FI41" s="27"/>
      <c r="FJ41" s="21">
        <v>4485</v>
      </c>
      <c r="FK41" s="28">
        <v>4680</v>
      </c>
      <c r="FL41" s="28">
        <v>4680</v>
      </c>
      <c r="FM41" s="29">
        <v>1140</v>
      </c>
      <c r="FN41" s="28">
        <v>0</v>
      </c>
      <c r="FO41" s="9"/>
    </row>
    <row r="42" spans="1:171">
      <c r="A42" s="2" t="s">
        <v>248</v>
      </c>
      <c r="B42" s="2">
        <v>131141</v>
      </c>
      <c r="C42" s="2">
        <v>2042898</v>
      </c>
      <c r="D42" s="2" t="s">
        <v>249</v>
      </c>
      <c r="E42" s="2">
        <v>307</v>
      </c>
      <c r="F42" s="2">
        <v>307</v>
      </c>
      <c r="G42" s="2">
        <v>40</v>
      </c>
      <c r="H42" s="2">
        <v>267</v>
      </c>
      <c r="I42" s="2">
        <v>0</v>
      </c>
      <c r="J42" s="2">
        <v>0</v>
      </c>
      <c r="K42" s="2">
        <v>0</v>
      </c>
      <c r="L42" s="2">
        <v>3</v>
      </c>
      <c r="M42" s="1">
        <f t="shared" si="5"/>
        <v>1417419</v>
      </c>
      <c r="N42" s="2">
        <v>0.550488599348534</v>
      </c>
      <c r="O42" s="2">
        <v>0</v>
      </c>
      <c r="P42" s="2">
        <f t="shared" si="6"/>
        <v>168.99999999999994</v>
      </c>
      <c r="Q42" s="2">
        <f t="shared" si="7"/>
        <v>0</v>
      </c>
      <c r="R42" s="1">
        <f t="shared" si="8"/>
        <v>96444.919999999955</v>
      </c>
      <c r="S42" s="2">
        <v>0.55374592833876202</v>
      </c>
      <c r="T42" s="2">
        <v>0</v>
      </c>
      <c r="U42" s="2">
        <f t="shared" si="9"/>
        <v>169.99999999999994</v>
      </c>
      <c r="V42" s="2">
        <f t="shared" si="10"/>
        <v>0</v>
      </c>
      <c r="W42" s="1">
        <f t="shared" si="11"/>
        <v>142492.29999999996</v>
      </c>
      <c r="X42" s="2">
        <v>1.30718954248366E-2</v>
      </c>
      <c r="Y42" s="2">
        <v>0.23529411764705899</v>
      </c>
      <c r="Z42" s="2">
        <v>0.18627450980392199</v>
      </c>
      <c r="AA42" s="2">
        <v>0.27124183006535901</v>
      </c>
      <c r="AB42" s="2">
        <v>0.25816993464052301</v>
      </c>
      <c r="AC42" s="2">
        <v>9.8039215686274508E-3</v>
      </c>
      <c r="AD42" s="2">
        <f t="shared" ref="AD42:AI42" si="230">$F42*X42</f>
        <v>4.0130718954248366</v>
      </c>
      <c r="AE42" s="2">
        <f t="shared" si="230"/>
        <v>72.235294117647115</v>
      </c>
      <c r="AF42" s="2">
        <f t="shared" si="230"/>
        <v>57.186274509804051</v>
      </c>
      <c r="AG42" s="2">
        <f t="shared" si="230"/>
        <v>83.271241830065222</v>
      </c>
      <c r="AH42" s="2">
        <f t="shared" si="230"/>
        <v>79.258169934640563</v>
      </c>
      <c r="AI42" s="2">
        <f t="shared" si="230"/>
        <v>3.0098039215686274</v>
      </c>
      <c r="AJ42" s="1">
        <f t="shared" ref="AJ42:AO42" si="231">AD42*AJ$3</f>
        <v>1097.3745098039215</v>
      </c>
      <c r="AK42" s="1">
        <f t="shared" si="231"/>
        <v>24047.129411764723</v>
      </c>
      <c r="AL42" s="1">
        <f t="shared" si="231"/>
        <v>29915.283921568694</v>
      </c>
      <c r="AM42" s="1">
        <f t="shared" si="231"/>
        <v>47521.232287581617</v>
      </c>
      <c r="AN42" s="1">
        <f t="shared" si="231"/>
        <v>48058.191339869307</v>
      </c>
      <c r="AO42" s="1">
        <f t="shared" si="231"/>
        <v>2397.5496078431374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f t="shared" ref="AV42:BA42" si="232">$I42*AP42</f>
        <v>0</v>
      </c>
      <c r="AW42" s="2">
        <f t="shared" si="232"/>
        <v>0</v>
      </c>
      <c r="AX42" s="2">
        <f t="shared" si="232"/>
        <v>0</v>
      </c>
      <c r="AY42" s="2">
        <f t="shared" si="232"/>
        <v>0</v>
      </c>
      <c r="AZ42" s="2">
        <f t="shared" si="232"/>
        <v>0</v>
      </c>
      <c r="BA42" s="2">
        <f t="shared" si="232"/>
        <v>0</v>
      </c>
      <c r="BB42" s="1">
        <f t="shared" ref="BB42:BG42" si="233">AV42*BB$4</f>
        <v>0</v>
      </c>
      <c r="BC42" s="1">
        <f t="shared" si="233"/>
        <v>0</v>
      </c>
      <c r="BD42" s="1">
        <f t="shared" si="233"/>
        <v>0</v>
      </c>
      <c r="BE42" s="1">
        <f t="shared" si="233"/>
        <v>0</v>
      </c>
      <c r="BF42" s="1">
        <f t="shared" si="233"/>
        <v>0</v>
      </c>
      <c r="BG42" s="1">
        <f t="shared" si="233"/>
        <v>0</v>
      </c>
      <c r="BH42" s="1">
        <f t="shared" si="16"/>
        <v>153036.76107843139</v>
      </c>
      <c r="BI42" s="2">
        <v>0.23970037453183499</v>
      </c>
      <c r="BJ42" s="2">
        <v>0</v>
      </c>
      <c r="BK42" s="2">
        <f t="shared" si="17"/>
        <v>73.588014981273346</v>
      </c>
      <c r="BL42" s="2">
        <f t="shared" si="18"/>
        <v>0</v>
      </c>
      <c r="BM42" s="1">
        <f t="shared" si="19"/>
        <v>50744.087490636666</v>
      </c>
      <c r="BN42" s="2">
        <v>0.21523437499999989</v>
      </c>
      <c r="BO42" s="2">
        <f t="shared" si="20"/>
        <v>66.076953124999974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f t="shared" si="21"/>
        <v>0</v>
      </c>
      <c r="CA42" s="2">
        <f t="shared" si="22"/>
        <v>0</v>
      </c>
      <c r="CB42" s="1">
        <f t="shared" si="23"/>
        <v>90736.872031249964</v>
      </c>
      <c r="CC42" s="2">
        <v>9.1503267973856203E-2</v>
      </c>
      <c r="CD42" s="2">
        <v>0</v>
      </c>
      <c r="CE42" s="2">
        <f t="shared" si="24"/>
        <v>9.671503267973856</v>
      </c>
      <c r="CF42" s="2">
        <f t="shared" si="25"/>
        <v>0</v>
      </c>
      <c r="CG42" s="1">
        <f t="shared" si="26"/>
        <v>10866.224066666666</v>
      </c>
      <c r="CH42" s="2">
        <v>152181.76000000001</v>
      </c>
      <c r="CI42" s="2">
        <v>26895</v>
      </c>
      <c r="CJ42" s="1">
        <f t="shared" si="27"/>
        <v>1352335</v>
      </c>
      <c r="CK42" s="2">
        <f t="shared" si="28"/>
        <v>0</v>
      </c>
      <c r="CL42" s="2">
        <v>2130127.5758000002</v>
      </c>
      <c r="CM42" s="22">
        <v>57910.562400000003</v>
      </c>
      <c r="CN42" s="22">
        <v>26895</v>
      </c>
      <c r="CO42" s="2">
        <f t="shared" si="29"/>
        <v>152181.76000000001</v>
      </c>
      <c r="CP42" s="2">
        <f t="shared" si="30"/>
        <v>2008961.3782000004</v>
      </c>
      <c r="CQ42" s="2">
        <v>312</v>
      </c>
      <c r="CR42" s="2">
        <f t="shared" si="31"/>
        <v>6438.9787762820524</v>
      </c>
      <c r="CS42" s="2">
        <f t="shared" si="32"/>
        <v>6449.9250402017324</v>
      </c>
      <c r="CT42" s="2">
        <f t="shared" si="33"/>
        <v>1980126.9873419318</v>
      </c>
      <c r="CU42" s="2">
        <f t="shared" si="34"/>
        <v>26895</v>
      </c>
      <c r="CV42" s="2">
        <f t="shared" si="35"/>
        <v>152181.76000000001</v>
      </c>
      <c r="CW42" s="2">
        <f t="shared" si="36"/>
        <v>2159203.7473419318</v>
      </c>
      <c r="CX42" s="1">
        <f t="shared" si="37"/>
        <v>18386.822674947209</v>
      </c>
      <c r="CY42" s="1">
        <f t="shared" si="38"/>
        <v>2159203.7473419323</v>
      </c>
      <c r="CZ42" s="2">
        <v>1</v>
      </c>
      <c r="DA42" s="2">
        <f t="shared" si="39"/>
        <v>3690.14</v>
      </c>
      <c r="DB42" s="2">
        <f t="shared" si="40"/>
        <v>6328.5692883895081</v>
      </c>
      <c r="DC42" s="2">
        <f t="shared" si="41"/>
        <v>1037.6599999999999</v>
      </c>
      <c r="DD42" s="2">
        <f t="shared" si="42"/>
        <v>927.14</v>
      </c>
      <c r="DE42" s="2">
        <f t="shared" si="43"/>
        <v>2701.6000000000004</v>
      </c>
      <c r="DF42" s="2">
        <f t="shared" si="44"/>
        <v>8012.7000000000007</v>
      </c>
      <c r="DG42" s="1">
        <f t="shared" si="45"/>
        <v>22697.809288389508</v>
      </c>
      <c r="DH42" s="1">
        <f t="shared" si="46"/>
        <v>688837.47466698452</v>
      </c>
      <c r="DI42" s="9">
        <v>1</v>
      </c>
      <c r="DJ42" s="23">
        <v>5.36</v>
      </c>
      <c r="DK42" s="24">
        <v>0.48</v>
      </c>
      <c r="DL42" s="24">
        <v>0.17</v>
      </c>
      <c r="DM42" s="24">
        <v>0.45</v>
      </c>
      <c r="DN42" s="24">
        <v>0</v>
      </c>
      <c r="DO42" s="25">
        <v>6.46</v>
      </c>
      <c r="DP42" s="9">
        <v>7742</v>
      </c>
      <c r="DQ42" s="9">
        <v>24795</v>
      </c>
      <c r="DR42" s="9">
        <v>0</v>
      </c>
      <c r="DS42" s="9" t="str">
        <f t="shared" si="47"/>
        <v>6045326</v>
      </c>
      <c r="DT42" s="9">
        <f t="shared" si="48"/>
        <v>69816.949159999989</v>
      </c>
      <c r="DU42" s="26"/>
      <c r="DV42" s="9"/>
      <c r="DW42" s="9"/>
      <c r="DX42" s="9">
        <v>2140816.9246669845</v>
      </c>
      <c r="DY42" s="9">
        <v>688837.47466698464</v>
      </c>
      <c r="DZ42" s="9">
        <v>2159203.7473419318</v>
      </c>
      <c r="EA42" s="9">
        <v>2159203.7473419318</v>
      </c>
      <c r="EB42" s="9">
        <v>22697.809288389508</v>
      </c>
      <c r="EC42" s="9">
        <v>2136505.9380535423</v>
      </c>
      <c r="ED42" s="9">
        <v>5.36</v>
      </c>
      <c r="EE42" s="9">
        <v>0.48</v>
      </c>
      <c r="EF42" s="9">
        <v>0.17</v>
      </c>
      <c r="EG42" s="9">
        <v>0.45</v>
      </c>
      <c r="EH42" s="9">
        <v>0</v>
      </c>
      <c r="EI42" s="9">
        <v>6.46</v>
      </c>
      <c r="EJ42" s="9">
        <v>0</v>
      </c>
      <c r="EK42" s="9">
        <v>69816.949159999989</v>
      </c>
      <c r="EL42" s="9">
        <v>24795</v>
      </c>
      <c r="EM42" s="9">
        <v>7742</v>
      </c>
      <c r="EN42" s="9">
        <v>2232497.8399242251</v>
      </c>
      <c r="EO42" s="9">
        <v>2235972.9003824838</v>
      </c>
      <c r="EP42" s="9">
        <f t="shared" si="63"/>
        <v>0</v>
      </c>
      <c r="EQ42" s="9">
        <f t="shared" si="49"/>
        <v>0</v>
      </c>
      <c r="ER42" s="9">
        <f t="shared" si="50"/>
        <v>0</v>
      </c>
      <c r="ES42" s="9">
        <f t="shared" si="51"/>
        <v>0</v>
      </c>
      <c r="ET42" s="9">
        <f t="shared" si="52"/>
        <v>0</v>
      </c>
      <c r="EU42" s="9">
        <f t="shared" si="53"/>
        <v>0</v>
      </c>
      <c r="EV42" s="9">
        <f t="shared" ref="EV42:FA42" si="234">ROUND(ED42-DJ42,0)</f>
        <v>0</v>
      </c>
      <c r="EW42" s="9">
        <f t="shared" si="234"/>
        <v>0</v>
      </c>
      <c r="EX42" s="9">
        <f t="shared" si="234"/>
        <v>0</v>
      </c>
      <c r="EY42" s="9">
        <f t="shared" si="234"/>
        <v>0</v>
      </c>
      <c r="EZ42" s="9">
        <f t="shared" si="234"/>
        <v>0</v>
      </c>
      <c r="FA42" s="9">
        <f t="shared" si="234"/>
        <v>0</v>
      </c>
      <c r="FB42" s="9">
        <f t="shared" si="55"/>
        <v>0</v>
      </c>
      <c r="FC42" s="9">
        <f t="shared" si="56"/>
        <v>0</v>
      </c>
      <c r="FD42" s="9">
        <f t="shared" si="57"/>
        <v>0</v>
      </c>
      <c r="FE42" s="9">
        <f t="shared" si="58"/>
        <v>0</v>
      </c>
      <c r="FF42" s="9"/>
      <c r="FG42" s="9"/>
      <c r="FH42" s="9"/>
      <c r="FI42" s="27"/>
      <c r="FJ42" s="21">
        <v>7215</v>
      </c>
      <c r="FK42" s="28">
        <v>5070</v>
      </c>
      <c r="FL42" s="28">
        <v>6120</v>
      </c>
      <c r="FM42" s="29">
        <v>5130</v>
      </c>
      <c r="FN42" s="28">
        <v>0</v>
      </c>
      <c r="FO42" s="9"/>
    </row>
    <row r="43" spans="1:171">
      <c r="A43" s="2" t="s">
        <v>250</v>
      </c>
      <c r="B43" s="2">
        <v>131706</v>
      </c>
      <c r="C43" s="2">
        <v>2042899</v>
      </c>
      <c r="D43" s="2" t="s">
        <v>251</v>
      </c>
      <c r="E43" s="2">
        <v>407</v>
      </c>
      <c r="F43" s="2">
        <v>407</v>
      </c>
      <c r="G43" s="2">
        <v>60</v>
      </c>
      <c r="H43" s="2">
        <v>347</v>
      </c>
      <c r="I43" s="2">
        <v>0</v>
      </c>
      <c r="J43" s="2">
        <v>0</v>
      </c>
      <c r="K43" s="2">
        <v>0</v>
      </c>
      <c r="L43" s="2">
        <v>0</v>
      </c>
      <c r="M43" s="1">
        <f t="shared" si="5"/>
        <v>1879119</v>
      </c>
      <c r="N43" s="2">
        <v>0.11056511056511099</v>
      </c>
      <c r="O43" s="2">
        <v>0</v>
      </c>
      <c r="P43" s="2">
        <f t="shared" si="6"/>
        <v>45.000000000000178</v>
      </c>
      <c r="Q43" s="2">
        <f t="shared" si="7"/>
        <v>0</v>
      </c>
      <c r="R43" s="1">
        <f t="shared" si="8"/>
        <v>25680.6000000001</v>
      </c>
      <c r="S43" s="2">
        <v>0.132678132678133</v>
      </c>
      <c r="T43" s="2">
        <v>0</v>
      </c>
      <c r="U43" s="2">
        <f t="shared" si="9"/>
        <v>54.000000000000128</v>
      </c>
      <c r="V43" s="2">
        <f t="shared" si="10"/>
        <v>0</v>
      </c>
      <c r="W43" s="1">
        <f t="shared" si="11"/>
        <v>45262.260000000111</v>
      </c>
      <c r="X43" s="2">
        <v>0.22113022113022099</v>
      </c>
      <c r="Y43" s="2">
        <v>0.21621621621621601</v>
      </c>
      <c r="Z43" s="2">
        <v>2.2113022113022102E-2</v>
      </c>
      <c r="AA43" s="2">
        <v>2.7027027027027001E-2</v>
      </c>
      <c r="AB43" s="2">
        <v>4.6683046683046701E-2</v>
      </c>
      <c r="AC43" s="2">
        <v>4.9140049140049104E-3</v>
      </c>
      <c r="AD43" s="2">
        <f t="shared" ref="AD43:AI43" si="235">$F43*X43</f>
        <v>89.999999999999943</v>
      </c>
      <c r="AE43" s="2">
        <f t="shared" si="235"/>
        <v>87.999999999999915</v>
      </c>
      <c r="AF43" s="2">
        <f t="shared" si="235"/>
        <v>8.9999999999999947</v>
      </c>
      <c r="AG43" s="2">
        <f t="shared" si="235"/>
        <v>10.999999999999989</v>
      </c>
      <c r="AH43" s="2">
        <f t="shared" si="235"/>
        <v>19.000000000000007</v>
      </c>
      <c r="AI43" s="2">
        <f t="shared" si="235"/>
        <v>1.9999999999999984</v>
      </c>
      <c r="AJ43" s="1">
        <f t="shared" ref="AJ43:AO43" si="236">AD43*AJ$3</f>
        <v>24610.499999999982</v>
      </c>
      <c r="AK43" s="1">
        <f t="shared" si="236"/>
        <v>29295.199999999968</v>
      </c>
      <c r="AL43" s="1">
        <f t="shared" si="236"/>
        <v>4708.0799999999972</v>
      </c>
      <c r="AM43" s="1">
        <f t="shared" si="236"/>
        <v>6277.4799999999932</v>
      </c>
      <c r="AN43" s="1">
        <f t="shared" si="236"/>
        <v>11520.650000000005</v>
      </c>
      <c r="AO43" s="1">
        <f t="shared" si="236"/>
        <v>1593.1599999999989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f t="shared" ref="AV43:BA43" si="237">$I43*AP43</f>
        <v>0</v>
      </c>
      <c r="AW43" s="2">
        <f t="shared" si="237"/>
        <v>0</v>
      </c>
      <c r="AX43" s="2">
        <f t="shared" si="237"/>
        <v>0</v>
      </c>
      <c r="AY43" s="2">
        <f t="shared" si="237"/>
        <v>0</v>
      </c>
      <c r="AZ43" s="2">
        <f t="shared" si="237"/>
        <v>0</v>
      </c>
      <c r="BA43" s="2">
        <f t="shared" si="237"/>
        <v>0</v>
      </c>
      <c r="BB43" s="1">
        <f t="shared" ref="BB43:BG43" si="238">AV43*BB$4</f>
        <v>0</v>
      </c>
      <c r="BC43" s="1">
        <f t="shared" si="238"/>
        <v>0</v>
      </c>
      <c r="BD43" s="1">
        <f t="shared" si="238"/>
        <v>0</v>
      </c>
      <c r="BE43" s="1">
        <f t="shared" si="238"/>
        <v>0</v>
      </c>
      <c r="BF43" s="1">
        <f t="shared" si="238"/>
        <v>0</v>
      </c>
      <c r="BG43" s="1">
        <f t="shared" si="238"/>
        <v>0</v>
      </c>
      <c r="BH43" s="1">
        <f t="shared" si="16"/>
        <v>78005.069999999949</v>
      </c>
      <c r="BI43" s="2">
        <v>0.16714697406340101</v>
      </c>
      <c r="BJ43" s="2">
        <v>0</v>
      </c>
      <c r="BK43" s="2">
        <f t="shared" si="17"/>
        <v>68.028818443804212</v>
      </c>
      <c r="BL43" s="2">
        <f t="shared" si="18"/>
        <v>0</v>
      </c>
      <c r="BM43" s="1">
        <f t="shared" si="19"/>
        <v>46910.632334294074</v>
      </c>
      <c r="BN43" s="2">
        <v>0.14219810040705547</v>
      </c>
      <c r="BO43" s="2">
        <f t="shared" si="20"/>
        <v>57.874626865671573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f t="shared" si="21"/>
        <v>0</v>
      </c>
      <c r="CA43" s="2">
        <f t="shared" si="22"/>
        <v>0</v>
      </c>
      <c r="CB43" s="1">
        <f t="shared" si="23"/>
        <v>79473.4376119402</v>
      </c>
      <c r="CC43" s="2">
        <v>5.65110565110565E-2</v>
      </c>
      <c r="CD43" s="2">
        <v>0</v>
      </c>
      <c r="CE43" s="2">
        <f t="shared" si="24"/>
        <v>0</v>
      </c>
      <c r="CF43" s="2">
        <f t="shared" si="25"/>
        <v>0</v>
      </c>
      <c r="CG43" s="1">
        <f t="shared" si="26"/>
        <v>0</v>
      </c>
      <c r="CH43" s="2">
        <v>152181.76000000001</v>
      </c>
      <c r="CI43" s="2">
        <v>40969</v>
      </c>
      <c r="CJ43" s="1">
        <f t="shared" si="27"/>
        <v>1792835</v>
      </c>
      <c r="CK43" s="2">
        <f t="shared" si="28"/>
        <v>0</v>
      </c>
      <c r="CL43" s="2">
        <v>2437344.9139999999</v>
      </c>
      <c r="CM43" s="22">
        <v>56756.3606</v>
      </c>
      <c r="CN43" s="22">
        <v>40969</v>
      </c>
      <c r="CO43" s="2">
        <f t="shared" si="29"/>
        <v>152181.76000000001</v>
      </c>
      <c r="CP43" s="2">
        <f t="shared" si="30"/>
        <v>2300950.5145999994</v>
      </c>
      <c r="CQ43" s="2">
        <v>408</v>
      </c>
      <c r="CR43" s="2">
        <f t="shared" si="31"/>
        <v>5639.5845946078416</v>
      </c>
      <c r="CS43" s="2">
        <f t="shared" si="32"/>
        <v>5649.1718884186748</v>
      </c>
      <c r="CT43" s="2">
        <f t="shared" si="33"/>
        <v>2299212.9585864008</v>
      </c>
      <c r="CU43" s="2">
        <f t="shared" si="34"/>
        <v>40969</v>
      </c>
      <c r="CV43" s="2">
        <f t="shared" si="35"/>
        <v>152181.76000000001</v>
      </c>
      <c r="CW43" s="2">
        <f t="shared" si="36"/>
        <v>2492363.7185864011</v>
      </c>
      <c r="CX43" s="1">
        <f t="shared" si="37"/>
        <v>144761.95864016662</v>
      </c>
      <c r="CY43" s="1">
        <f t="shared" si="38"/>
        <v>2492363.7185864011</v>
      </c>
      <c r="CZ43" s="2">
        <v>1</v>
      </c>
      <c r="DA43" s="2">
        <f t="shared" si="39"/>
        <v>4892.1399999999994</v>
      </c>
      <c r="DB43" s="2">
        <f t="shared" si="40"/>
        <v>5850.4783861671622</v>
      </c>
      <c r="DC43" s="2">
        <f t="shared" si="41"/>
        <v>1375.6599999999999</v>
      </c>
      <c r="DD43" s="2">
        <f t="shared" si="42"/>
        <v>1229.1400000000001</v>
      </c>
      <c r="DE43" s="2">
        <f t="shared" si="43"/>
        <v>3581.6000000000004</v>
      </c>
      <c r="DF43" s="2">
        <f t="shared" si="44"/>
        <v>10622.7</v>
      </c>
      <c r="DG43" s="1">
        <f t="shared" si="45"/>
        <v>27551.718386167162</v>
      </c>
      <c r="DH43" s="1">
        <f t="shared" si="46"/>
        <v>569101.6299462344</v>
      </c>
      <c r="DI43" s="9">
        <v>1</v>
      </c>
      <c r="DJ43" s="23">
        <v>5.36</v>
      </c>
      <c r="DK43" s="24">
        <v>0.16</v>
      </c>
      <c r="DL43" s="24">
        <v>0.11</v>
      </c>
      <c r="DM43" s="24">
        <v>0.45</v>
      </c>
      <c r="DN43" s="24">
        <v>0</v>
      </c>
      <c r="DO43" s="25">
        <v>6.08</v>
      </c>
      <c r="DP43" s="9">
        <v>8112</v>
      </c>
      <c r="DQ43" s="9">
        <v>7685</v>
      </c>
      <c r="DR43" s="9">
        <v>0</v>
      </c>
      <c r="DS43" s="9" t="str">
        <f t="shared" si="47"/>
        <v>8219676</v>
      </c>
      <c r="DT43" s="9">
        <f t="shared" si="48"/>
        <v>69621.966280000022</v>
      </c>
      <c r="DU43" s="26"/>
      <c r="DV43" s="9"/>
      <c r="DW43" s="9"/>
      <c r="DX43" s="9">
        <v>2347601.7599462345</v>
      </c>
      <c r="DY43" s="9">
        <v>569101.6299462344</v>
      </c>
      <c r="DZ43" s="9">
        <v>2492363.7185864011</v>
      </c>
      <c r="EA43" s="9">
        <v>2492363.7185864011</v>
      </c>
      <c r="EB43" s="9">
        <v>27551.718386167162</v>
      </c>
      <c r="EC43" s="9">
        <v>2464812.0002002339</v>
      </c>
      <c r="ED43" s="9">
        <v>5.36</v>
      </c>
      <c r="EE43" s="9">
        <v>0.16</v>
      </c>
      <c r="EF43" s="9">
        <v>0.11</v>
      </c>
      <c r="EG43" s="9">
        <v>0.45</v>
      </c>
      <c r="EH43" s="9">
        <v>0</v>
      </c>
      <c r="EI43" s="9">
        <v>6.08</v>
      </c>
      <c r="EJ43" s="9">
        <v>0</v>
      </c>
      <c r="EK43" s="9">
        <v>69621.966280000022</v>
      </c>
      <c r="EL43" s="9">
        <v>7685</v>
      </c>
      <c r="EM43" s="9">
        <v>8112</v>
      </c>
      <c r="EN43" s="9">
        <v>2566004.9429689138</v>
      </c>
      <c r="EO43" s="9">
        <v>2570023.0397023484</v>
      </c>
      <c r="EP43" s="9">
        <f t="shared" si="63"/>
        <v>0</v>
      </c>
      <c r="EQ43" s="9">
        <f t="shared" si="49"/>
        <v>0</v>
      </c>
      <c r="ER43" s="9">
        <f t="shared" si="50"/>
        <v>0</v>
      </c>
      <c r="ES43" s="9">
        <f t="shared" si="51"/>
        <v>0</v>
      </c>
      <c r="ET43" s="9">
        <f t="shared" si="52"/>
        <v>0</v>
      </c>
      <c r="EU43" s="9">
        <f t="shared" si="53"/>
        <v>0</v>
      </c>
      <c r="EV43" s="9">
        <f t="shared" ref="EV43:FA43" si="239">ROUND(ED43-DJ43,0)</f>
        <v>0</v>
      </c>
      <c r="EW43" s="9">
        <f t="shared" si="239"/>
        <v>0</v>
      </c>
      <c r="EX43" s="9">
        <f t="shared" si="239"/>
        <v>0</v>
      </c>
      <c r="EY43" s="9">
        <f t="shared" si="239"/>
        <v>0</v>
      </c>
      <c r="EZ43" s="9">
        <f t="shared" si="239"/>
        <v>0</v>
      </c>
      <c r="FA43" s="9">
        <f t="shared" si="239"/>
        <v>0</v>
      </c>
      <c r="FB43" s="9">
        <f t="shared" si="55"/>
        <v>0</v>
      </c>
      <c r="FC43" s="9">
        <f t="shared" si="56"/>
        <v>0</v>
      </c>
      <c r="FD43" s="9">
        <f t="shared" si="57"/>
        <v>0</v>
      </c>
      <c r="FE43" s="9">
        <f t="shared" si="58"/>
        <v>0</v>
      </c>
      <c r="FF43" s="9"/>
      <c r="FG43" s="9"/>
      <c r="FH43" s="9"/>
      <c r="FI43" s="27"/>
      <c r="FJ43" s="21">
        <v>8385</v>
      </c>
      <c r="FK43" s="28">
        <v>5265</v>
      </c>
      <c r="FL43" s="28">
        <v>6840</v>
      </c>
      <c r="FM43" s="29">
        <v>2280</v>
      </c>
      <c r="FN43" s="28">
        <v>0</v>
      </c>
      <c r="FO43" s="9"/>
    </row>
    <row r="44" spans="1:171">
      <c r="A44" s="2" t="s">
        <v>252</v>
      </c>
      <c r="B44" s="2">
        <v>133669</v>
      </c>
      <c r="C44" s="2">
        <v>2042900</v>
      </c>
      <c r="D44" s="2" t="s">
        <v>253</v>
      </c>
      <c r="E44" s="2">
        <v>253</v>
      </c>
      <c r="F44" s="2">
        <v>253</v>
      </c>
      <c r="G44" s="2">
        <v>22</v>
      </c>
      <c r="H44" s="2">
        <v>231</v>
      </c>
      <c r="I44" s="2">
        <v>0</v>
      </c>
      <c r="J44" s="2">
        <v>0</v>
      </c>
      <c r="K44" s="2">
        <v>0</v>
      </c>
      <c r="L44" s="2">
        <v>1</v>
      </c>
      <c r="M44" s="1">
        <f t="shared" si="5"/>
        <v>1168101</v>
      </c>
      <c r="N44" s="2">
        <v>0.54940711462450598</v>
      </c>
      <c r="O44" s="2">
        <v>0</v>
      </c>
      <c r="P44" s="2">
        <f t="shared" si="6"/>
        <v>139</v>
      </c>
      <c r="Q44" s="2">
        <f t="shared" si="7"/>
        <v>0</v>
      </c>
      <c r="R44" s="1">
        <f t="shared" si="8"/>
        <v>79324.51999999999</v>
      </c>
      <c r="S44" s="2">
        <v>0.57707509881422903</v>
      </c>
      <c r="T44" s="2">
        <v>0</v>
      </c>
      <c r="U44" s="2">
        <f t="shared" si="9"/>
        <v>145.99999999999994</v>
      </c>
      <c r="V44" s="2">
        <f t="shared" si="10"/>
        <v>0</v>
      </c>
      <c r="W44" s="1">
        <f t="shared" si="11"/>
        <v>122375.73999999996</v>
      </c>
      <c r="X44" s="2">
        <v>7.1146245059288502E-2</v>
      </c>
      <c r="Y44" s="2">
        <v>0.102766798418972</v>
      </c>
      <c r="Z44" s="2">
        <v>5.1383399209486202E-2</v>
      </c>
      <c r="AA44" s="2">
        <v>0.30434782608695699</v>
      </c>
      <c r="AB44" s="2">
        <v>0.40316205533596799</v>
      </c>
      <c r="AC44" s="2">
        <v>5.9288537549407098E-2</v>
      </c>
      <c r="AD44" s="2">
        <f t="shared" ref="AD44:AI44" si="240">$F44*X44</f>
        <v>17.999999999999989</v>
      </c>
      <c r="AE44" s="2">
        <f t="shared" si="240"/>
        <v>25.999999999999918</v>
      </c>
      <c r="AF44" s="2">
        <f t="shared" si="240"/>
        <v>13.000000000000009</v>
      </c>
      <c r="AG44" s="2">
        <f t="shared" si="240"/>
        <v>77.000000000000114</v>
      </c>
      <c r="AH44" s="2">
        <f t="shared" si="240"/>
        <v>101.9999999999999</v>
      </c>
      <c r="AI44" s="2">
        <f t="shared" si="240"/>
        <v>14.999999999999996</v>
      </c>
      <c r="AJ44" s="1">
        <f t="shared" ref="AJ44:AO44" si="241">AD44*AJ$3</f>
        <v>4922.0999999999967</v>
      </c>
      <c r="AK44" s="1">
        <f t="shared" si="241"/>
        <v>8655.3999999999724</v>
      </c>
      <c r="AL44" s="1">
        <f t="shared" si="241"/>
        <v>6800.5600000000049</v>
      </c>
      <c r="AM44" s="1">
        <f t="shared" si="241"/>
        <v>43942.360000000059</v>
      </c>
      <c r="AN44" s="1">
        <f t="shared" si="241"/>
        <v>61847.699999999939</v>
      </c>
      <c r="AO44" s="1">
        <f t="shared" si="241"/>
        <v>11948.699999999997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f t="shared" ref="AV44:BA44" si="242">$I44*AP44</f>
        <v>0</v>
      </c>
      <c r="AW44" s="2">
        <f t="shared" si="242"/>
        <v>0</v>
      </c>
      <c r="AX44" s="2">
        <f t="shared" si="242"/>
        <v>0</v>
      </c>
      <c r="AY44" s="2">
        <f t="shared" si="242"/>
        <v>0</v>
      </c>
      <c r="AZ44" s="2">
        <f t="shared" si="242"/>
        <v>0</v>
      </c>
      <c r="BA44" s="2">
        <f t="shared" si="242"/>
        <v>0</v>
      </c>
      <c r="BB44" s="1">
        <f t="shared" ref="BB44:BG44" si="243">AV44*BB$4</f>
        <v>0</v>
      </c>
      <c r="BC44" s="1">
        <f t="shared" si="243"/>
        <v>0</v>
      </c>
      <c r="BD44" s="1">
        <f t="shared" si="243"/>
        <v>0</v>
      </c>
      <c r="BE44" s="1">
        <f t="shared" si="243"/>
        <v>0</v>
      </c>
      <c r="BF44" s="1">
        <f t="shared" si="243"/>
        <v>0</v>
      </c>
      <c r="BG44" s="1">
        <f t="shared" si="243"/>
        <v>0</v>
      </c>
      <c r="BH44" s="1">
        <f t="shared" si="16"/>
        <v>138116.81999999995</v>
      </c>
      <c r="BI44" s="2">
        <v>0.229437229437229</v>
      </c>
      <c r="BJ44" s="2">
        <v>0</v>
      </c>
      <c r="BK44" s="2">
        <f t="shared" si="17"/>
        <v>58.047619047618937</v>
      </c>
      <c r="BL44" s="2">
        <f t="shared" si="18"/>
        <v>0</v>
      </c>
      <c r="BM44" s="1">
        <f t="shared" si="19"/>
        <v>40027.896666666595</v>
      </c>
      <c r="BN44" s="2">
        <v>0.2942660550458715</v>
      </c>
      <c r="BO44" s="2">
        <f t="shared" si="20"/>
        <v>74.449311926605489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f t="shared" si="21"/>
        <v>0</v>
      </c>
      <c r="CA44" s="2">
        <f t="shared" si="22"/>
        <v>0</v>
      </c>
      <c r="CB44" s="1">
        <f t="shared" si="23"/>
        <v>102233.79513761467</v>
      </c>
      <c r="CC44" s="2">
        <v>7.1146245059288502E-2</v>
      </c>
      <c r="CD44" s="2">
        <v>0</v>
      </c>
      <c r="CE44" s="2">
        <f t="shared" si="24"/>
        <v>2.8199999999999914</v>
      </c>
      <c r="CF44" s="2">
        <f t="shared" si="25"/>
        <v>0</v>
      </c>
      <c r="CG44" s="1">
        <f t="shared" si="26"/>
        <v>3168.3545999999901</v>
      </c>
      <c r="CH44" s="2">
        <v>152181.76000000001</v>
      </c>
      <c r="CI44" s="2">
        <v>4622</v>
      </c>
      <c r="CJ44" s="1">
        <f t="shared" si="27"/>
        <v>1114465</v>
      </c>
      <c r="CK44" s="2">
        <f t="shared" si="28"/>
        <v>0</v>
      </c>
      <c r="CL44" s="2">
        <v>1926989.0234999999</v>
      </c>
      <c r="CM44" s="22">
        <v>52082.614399999999</v>
      </c>
      <c r="CN44" s="22">
        <v>4622</v>
      </c>
      <c r="CO44" s="2">
        <f t="shared" si="29"/>
        <v>152181.76000000001</v>
      </c>
      <c r="CP44" s="2">
        <f t="shared" si="30"/>
        <v>1822267.8779</v>
      </c>
      <c r="CQ44" s="2">
        <v>278</v>
      </c>
      <c r="CR44" s="2">
        <f t="shared" si="31"/>
        <v>6554.9204241007192</v>
      </c>
      <c r="CS44" s="2">
        <f t="shared" si="32"/>
        <v>6566.0637888216907</v>
      </c>
      <c r="CT44" s="2">
        <f t="shared" si="33"/>
        <v>1661214.1385718877</v>
      </c>
      <c r="CU44" s="2">
        <f t="shared" si="34"/>
        <v>4622</v>
      </c>
      <c r="CV44" s="2">
        <f t="shared" si="35"/>
        <v>152181.76000000001</v>
      </c>
      <c r="CW44" s="2">
        <f t="shared" si="36"/>
        <v>1818017.8985718878</v>
      </c>
      <c r="CX44" s="1">
        <f t="shared" si="37"/>
        <v>7866.0121676065319</v>
      </c>
      <c r="CY44" s="1">
        <f t="shared" si="38"/>
        <v>1818017.8985718878</v>
      </c>
      <c r="CZ44" s="2">
        <v>1</v>
      </c>
      <c r="DA44" s="2">
        <f t="shared" si="39"/>
        <v>3041.06</v>
      </c>
      <c r="DB44" s="2">
        <f t="shared" si="40"/>
        <v>4992.0952380952285</v>
      </c>
      <c r="DC44" s="2">
        <f t="shared" si="41"/>
        <v>855.14</v>
      </c>
      <c r="DD44" s="2">
        <f t="shared" si="42"/>
        <v>764.06000000000006</v>
      </c>
      <c r="DE44" s="2">
        <f t="shared" si="43"/>
        <v>2226.4</v>
      </c>
      <c r="DF44" s="2">
        <f t="shared" si="44"/>
        <v>6603.3</v>
      </c>
      <c r="DG44" s="1">
        <f t="shared" si="45"/>
        <v>18482.055238095229</v>
      </c>
      <c r="DH44" s="1">
        <f t="shared" si="46"/>
        <v>604499.77640428115</v>
      </c>
      <c r="DI44" s="9">
        <v>1</v>
      </c>
      <c r="DJ44" s="23">
        <v>5.36</v>
      </c>
      <c r="DK44" s="24">
        <v>0.3</v>
      </c>
      <c r="DL44" s="24">
        <v>0.17</v>
      </c>
      <c r="DM44" s="24">
        <v>0.45</v>
      </c>
      <c r="DN44" s="24">
        <v>0</v>
      </c>
      <c r="DO44" s="25">
        <v>6.28</v>
      </c>
      <c r="DP44" s="9">
        <v>7696</v>
      </c>
      <c r="DQ44" s="9">
        <v>22620</v>
      </c>
      <c r="DR44" s="9">
        <v>0</v>
      </c>
      <c r="DS44" s="9" t="str">
        <f t="shared" si="47"/>
        <v>7852512</v>
      </c>
      <c r="DT44" s="9">
        <f t="shared" si="48"/>
        <v>59209.404919999994</v>
      </c>
      <c r="DU44" s="26"/>
      <c r="DV44" s="9"/>
      <c r="DW44" s="9"/>
      <c r="DX44" s="9">
        <v>1810151.8864042812</v>
      </c>
      <c r="DY44" s="9">
        <v>604499.77640428115</v>
      </c>
      <c r="DZ44" s="9">
        <v>1818017.8985718878</v>
      </c>
      <c r="EA44" s="9">
        <v>1818017.8985718878</v>
      </c>
      <c r="EB44" s="9">
        <v>18482.055238095229</v>
      </c>
      <c r="EC44" s="9">
        <v>1799535.8433337924</v>
      </c>
      <c r="ED44" s="9">
        <v>5.36</v>
      </c>
      <c r="EE44" s="9">
        <v>0.3</v>
      </c>
      <c r="EF44" s="9">
        <v>0.17</v>
      </c>
      <c r="EG44" s="9">
        <v>0.45</v>
      </c>
      <c r="EH44" s="9">
        <v>0</v>
      </c>
      <c r="EI44" s="9">
        <v>6.28</v>
      </c>
      <c r="EJ44" s="9">
        <v>0</v>
      </c>
      <c r="EK44" s="9">
        <v>59209.404919999994</v>
      </c>
      <c r="EL44" s="9">
        <v>22620</v>
      </c>
      <c r="EM44" s="9">
        <v>7696</v>
      </c>
      <c r="EN44" s="9">
        <v>1880144.2622460639</v>
      </c>
      <c r="EO44" s="9">
        <v>1883058.1857222696</v>
      </c>
      <c r="EP44" s="9">
        <f t="shared" si="63"/>
        <v>0</v>
      </c>
      <c r="EQ44" s="9">
        <f t="shared" si="49"/>
        <v>0</v>
      </c>
      <c r="ER44" s="9">
        <f t="shared" si="50"/>
        <v>0</v>
      </c>
      <c r="ES44" s="9">
        <f t="shared" si="51"/>
        <v>0</v>
      </c>
      <c r="ET44" s="9">
        <f t="shared" si="52"/>
        <v>0</v>
      </c>
      <c r="EU44" s="9">
        <f t="shared" si="53"/>
        <v>0</v>
      </c>
      <c r="EV44" s="9">
        <f t="shared" ref="EV44:FA44" si="244">ROUND(ED44-DJ44,0)</f>
        <v>0</v>
      </c>
      <c r="EW44" s="9">
        <f t="shared" si="244"/>
        <v>0</v>
      </c>
      <c r="EX44" s="9">
        <f t="shared" si="244"/>
        <v>0</v>
      </c>
      <c r="EY44" s="9">
        <f t="shared" si="244"/>
        <v>0</v>
      </c>
      <c r="EZ44" s="9">
        <f t="shared" si="244"/>
        <v>0</v>
      </c>
      <c r="FA44" s="9">
        <f t="shared" si="244"/>
        <v>0</v>
      </c>
      <c r="FB44" s="9">
        <f t="shared" si="55"/>
        <v>0</v>
      </c>
      <c r="FC44" s="9">
        <f t="shared" si="56"/>
        <v>0</v>
      </c>
      <c r="FD44" s="9">
        <f t="shared" si="57"/>
        <v>0</v>
      </c>
      <c r="FE44" s="9">
        <f t="shared" si="58"/>
        <v>0</v>
      </c>
      <c r="FF44" s="9"/>
      <c r="FG44" s="9"/>
      <c r="FH44" s="9"/>
      <c r="FI44" s="27"/>
      <c r="FJ44" s="21">
        <v>5460</v>
      </c>
      <c r="FK44" s="28">
        <v>3120</v>
      </c>
      <c r="FL44" s="28">
        <v>3600</v>
      </c>
      <c r="FM44" s="29">
        <v>1710</v>
      </c>
      <c r="FN44" s="28">
        <v>0</v>
      </c>
      <c r="FO44" s="9"/>
    </row>
    <row r="45" spans="1:171">
      <c r="A45" s="2" t="s">
        <v>254</v>
      </c>
      <c r="B45" s="2">
        <v>132137</v>
      </c>
      <c r="C45" s="2">
        <v>2043000</v>
      </c>
      <c r="D45" s="2" t="s">
        <v>255</v>
      </c>
      <c r="E45" s="2">
        <v>197</v>
      </c>
      <c r="F45" s="2">
        <v>197</v>
      </c>
      <c r="G45" s="2">
        <v>30</v>
      </c>
      <c r="H45" s="2">
        <v>167</v>
      </c>
      <c r="I45" s="2">
        <v>0</v>
      </c>
      <c r="J45" s="2">
        <v>0</v>
      </c>
      <c r="K45" s="2">
        <v>0</v>
      </c>
      <c r="L45" s="2">
        <v>0</v>
      </c>
      <c r="M45" s="1">
        <f t="shared" si="5"/>
        <v>909549</v>
      </c>
      <c r="N45" s="2">
        <v>0.40101522842639598</v>
      </c>
      <c r="O45" s="2">
        <v>0</v>
      </c>
      <c r="P45" s="2">
        <f t="shared" si="6"/>
        <v>79.000000000000014</v>
      </c>
      <c r="Q45" s="2">
        <f t="shared" si="7"/>
        <v>0</v>
      </c>
      <c r="R45" s="1">
        <f t="shared" si="8"/>
        <v>45083.72</v>
      </c>
      <c r="S45" s="2">
        <v>0.40101522842639598</v>
      </c>
      <c r="T45" s="2">
        <v>0</v>
      </c>
      <c r="U45" s="2">
        <f t="shared" si="9"/>
        <v>79.000000000000014</v>
      </c>
      <c r="V45" s="2">
        <f t="shared" si="10"/>
        <v>0</v>
      </c>
      <c r="W45" s="1">
        <f t="shared" si="11"/>
        <v>66217.010000000009</v>
      </c>
      <c r="X45" s="2">
        <v>3.5532994923857898E-2</v>
      </c>
      <c r="Y45" s="2">
        <v>0.20304568527918801</v>
      </c>
      <c r="Z45" s="2">
        <v>0.233502538071066</v>
      </c>
      <c r="AA45" s="2">
        <v>0.22842639593908601</v>
      </c>
      <c r="AB45" s="2">
        <v>0.22335025380710699</v>
      </c>
      <c r="AC45" s="2">
        <v>1.5228426395939101E-2</v>
      </c>
      <c r="AD45" s="2">
        <f t="shared" ref="AD45:AI45" si="245">$F45*X45</f>
        <v>7.0000000000000062</v>
      </c>
      <c r="AE45" s="2">
        <f t="shared" si="245"/>
        <v>40.000000000000036</v>
      </c>
      <c r="AF45" s="2">
        <f t="shared" si="245"/>
        <v>46</v>
      </c>
      <c r="AG45" s="2">
        <f t="shared" si="245"/>
        <v>44.999999999999943</v>
      </c>
      <c r="AH45" s="2">
        <f t="shared" si="245"/>
        <v>44.000000000000078</v>
      </c>
      <c r="AI45" s="2">
        <f t="shared" si="245"/>
        <v>3.0000000000000027</v>
      </c>
      <c r="AJ45" s="1">
        <f t="shared" ref="AJ45:AO45" si="246">AD45*AJ$3</f>
        <v>1914.1500000000017</v>
      </c>
      <c r="AK45" s="1">
        <f t="shared" si="246"/>
        <v>13316.000000000011</v>
      </c>
      <c r="AL45" s="1">
        <f t="shared" si="246"/>
        <v>24063.52</v>
      </c>
      <c r="AM45" s="1">
        <f t="shared" si="246"/>
        <v>25680.599999999966</v>
      </c>
      <c r="AN45" s="1">
        <f t="shared" si="246"/>
        <v>26679.400000000049</v>
      </c>
      <c r="AO45" s="1">
        <f t="shared" si="246"/>
        <v>2389.7400000000021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f t="shared" ref="AV45:BA45" si="247">$I45*AP45</f>
        <v>0</v>
      </c>
      <c r="AW45" s="2">
        <f t="shared" si="247"/>
        <v>0</v>
      </c>
      <c r="AX45" s="2">
        <f t="shared" si="247"/>
        <v>0</v>
      </c>
      <c r="AY45" s="2">
        <f t="shared" si="247"/>
        <v>0</v>
      </c>
      <c r="AZ45" s="2">
        <f t="shared" si="247"/>
        <v>0</v>
      </c>
      <c r="BA45" s="2">
        <f t="shared" si="247"/>
        <v>0</v>
      </c>
      <c r="BB45" s="1">
        <f t="shared" ref="BB45:BG45" si="248">AV45*BB$4</f>
        <v>0</v>
      </c>
      <c r="BC45" s="1">
        <f t="shared" si="248"/>
        <v>0</v>
      </c>
      <c r="BD45" s="1">
        <f t="shared" si="248"/>
        <v>0</v>
      </c>
      <c r="BE45" s="1">
        <f t="shared" si="248"/>
        <v>0</v>
      </c>
      <c r="BF45" s="1">
        <f t="shared" si="248"/>
        <v>0</v>
      </c>
      <c r="BG45" s="1">
        <f t="shared" si="248"/>
        <v>0</v>
      </c>
      <c r="BH45" s="1">
        <f t="shared" si="16"/>
        <v>94043.410000000033</v>
      </c>
      <c r="BI45" s="2">
        <v>0.16167664670658699</v>
      </c>
      <c r="BJ45" s="2">
        <v>0</v>
      </c>
      <c r="BK45" s="2">
        <f t="shared" si="17"/>
        <v>31.850299401197638</v>
      </c>
      <c r="BL45" s="2">
        <f t="shared" si="18"/>
        <v>0</v>
      </c>
      <c r="BM45" s="1">
        <f t="shared" si="19"/>
        <v>21963.010958083858</v>
      </c>
      <c r="BN45" s="2">
        <v>0.24014423076923053</v>
      </c>
      <c r="BO45" s="2">
        <f t="shared" si="20"/>
        <v>47.308413461538414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f t="shared" si="21"/>
        <v>0</v>
      </c>
      <c r="CA45" s="2">
        <f t="shared" si="22"/>
        <v>0</v>
      </c>
      <c r="CB45" s="1">
        <f t="shared" si="23"/>
        <v>64963.913365384549</v>
      </c>
      <c r="CC45" s="2">
        <v>3.5532994923857898E-2</v>
      </c>
      <c r="CD45" s="2">
        <v>0</v>
      </c>
      <c r="CE45" s="2">
        <f t="shared" si="24"/>
        <v>0</v>
      </c>
      <c r="CF45" s="2">
        <f t="shared" si="25"/>
        <v>0</v>
      </c>
      <c r="CG45" s="1">
        <f t="shared" si="26"/>
        <v>0</v>
      </c>
      <c r="CH45" s="2">
        <v>152181.76000000001</v>
      </c>
      <c r="CI45" s="2">
        <v>5484</v>
      </c>
      <c r="CJ45" s="1">
        <f t="shared" si="27"/>
        <v>867785</v>
      </c>
      <c r="CK45" s="2">
        <f t="shared" si="28"/>
        <v>0</v>
      </c>
      <c r="CL45" s="2">
        <v>1317900.2838000001</v>
      </c>
      <c r="CM45" s="22">
        <v>34004.4692</v>
      </c>
      <c r="CN45" s="22">
        <v>5484</v>
      </c>
      <c r="CO45" s="2">
        <f t="shared" si="29"/>
        <v>152181.76000000001</v>
      </c>
      <c r="CP45" s="2">
        <f t="shared" si="30"/>
        <v>1194238.993</v>
      </c>
      <c r="CQ45" s="2">
        <v>198</v>
      </c>
      <c r="CR45" s="2">
        <f t="shared" si="31"/>
        <v>6031.5100656565655</v>
      </c>
      <c r="CS45" s="2">
        <f t="shared" si="32"/>
        <v>6041.7636327681821</v>
      </c>
      <c r="CT45" s="2">
        <f t="shared" si="33"/>
        <v>1190227.4356553319</v>
      </c>
      <c r="CU45" s="2">
        <f t="shared" si="34"/>
        <v>5484</v>
      </c>
      <c r="CV45" s="2">
        <f t="shared" si="35"/>
        <v>152181.76000000001</v>
      </c>
      <c r="CW45" s="2">
        <f t="shared" si="36"/>
        <v>1347893.1956553319</v>
      </c>
      <c r="CX45" s="1">
        <f t="shared" si="37"/>
        <v>0</v>
      </c>
      <c r="CY45" s="1">
        <f t="shared" si="38"/>
        <v>1359485.8243234686</v>
      </c>
      <c r="CZ45" s="2">
        <v>1</v>
      </c>
      <c r="DA45" s="2">
        <f t="shared" si="39"/>
        <v>2367.94</v>
      </c>
      <c r="DB45" s="2">
        <f t="shared" si="40"/>
        <v>2739.1257485029969</v>
      </c>
      <c r="DC45" s="2">
        <f t="shared" si="41"/>
        <v>665.86</v>
      </c>
      <c r="DD45" s="2">
        <f t="shared" si="42"/>
        <v>594.94000000000005</v>
      </c>
      <c r="DE45" s="2">
        <f t="shared" si="43"/>
        <v>1733.6000000000001</v>
      </c>
      <c r="DF45" s="2">
        <f t="shared" si="44"/>
        <v>5141.7000000000007</v>
      </c>
      <c r="DG45" s="1">
        <f t="shared" si="45"/>
        <v>13243.165748502997</v>
      </c>
      <c r="DH45" s="1">
        <f t="shared" si="46"/>
        <v>401810.67432346847</v>
      </c>
      <c r="DI45" s="9">
        <v>1</v>
      </c>
      <c r="DJ45" s="23">
        <v>5.36</v>
      </c>
      <c r="DK45" s="24">
        <v>0.13</v>
      </c>
      <c r="DL45" s="24">
        <v>0.16</v>
      </c>
      <c r="DM45" s="24">
        <v>0.45</v>
      </c>
      <c r="DN45" s="24">
        <v>0</v>
      </c>
      <c r="DO45" s="25">
        <v>6.11</v>
      </c>
      <c r="DP45" s="9">
        <v>7367</v>
      </c>
      <c r="DQ45" s="9">
        <v>10440</v>
      </c>
      <c r="DR45" s="9">
        <v>0</v>
      </c>
      <c r="DS45" s="9" t="str">
        <f t="shared" si="47"/>
        <v>6469459</v>
      </c>
      <c r="DT45" s="9">
        <f t="shared" si="48"/>
        <v>43002.047480000001</v>
      </c>
      <c r="DU45" s="26"/>
      <c r="DV45" s="9"/>
      <c r="DW45" s="9"/>
      <c r="DX45" s="9">
        <v>1359485.8243234684</v>
      </c>
      <c r="DY45" s="9">
        <v>401810.67432346841</v>
      </c>
      <c r="DZ45" s="9">
        <v>1347893.1956553319</v>
      </c>
      <c r="EA45" s="9">
        <v>1359485.8243234684</v>
      </c>
      <c r="EB45" s="9">
        <v>13243.165748502997</v>
      </c>
      <c r="EC45" s="9">
        <v>1346242.6585749653</v>
      </c>
      <c r="ED45" s="9">
        <v>5.36</v>
      </c>
      <c r="EE45" s="9">
        <v>0.13</v>
      </c>
      <c r="EF45" s="9">
        <v>0.16</v>
      </c>
      <c r="EG45" s="9">
        <v>0.45</v>
      </c>
      <c r="EH45" s="9">
        <v>0</v>
      </c>
      <c r="EI45" s="9">
        <v>6.11</v>
      </c>
      <c r="EJ45" s="9">
        <v>0</v>
      </c>
      <c r="EK45" s="9">
        <v>43002.047480000001</v>
      </c>
      <c r="EL45" s="9">
        <v>10440</v>
      </c>
      <c r="EM45" s="9">
        <v>7367</v>
      </c>
      <c r="EN45" s="9">
        <v>1404596.3081237741</v>
      </c>
      <c r="EO45" s="9">
        <v>1406700.3346779717</v>
      </c>
      <c r="EP45" s="9">
        <f t="shared" si="63"/>
        <v>0</v>
      </c>
      <c r="EQ45" s="9">
        <f t="shared" si="49"/>
        <v>0</v>
      </c>
      <c r="ER45" s="9">
        <f t="shared" si="50"/>
        <v>0</v>
      </c>
      <c r="ES45" s="9">
        <f t="shared" si="51"/>
        <v>0</v>
      </c>
      <c r="ET45" s="9">
        <f t="shared" si="52"/>
        <v>0</v>
      </c>
      <c r="EU45" s="9">
        <f t="shared" si="53"/>
        <v>0</v>
      </c>
      <c r="EV45" s="9">
        <f t="shared" ref="EV45:FA45" si="249">ROUND(ED45-DJ45,0)</f>
        <v>0</v>
      </c>
      <c r="EW45" s="9">
        <f t="shared" si="249"/>
        <v>0</v>
      </c>
      <c r="EX45" s="9">
        <f t="shared" si="249"/>
        <v>0</v>
      </c>
      <c r="EY45" s="9">
        <f t="shared" si="249"/>
        <v>0</v>
      </c>
      <c r="EZ45" s="9">
        <f t="shared" si="249"/>
        <v>0</v>
      </c>
      <c r="FA45" s="9">
        <f t="shared" si="249"/>
        <v>0</v>
      </c>
      <c r="FB45" s="9">
        <f t="shared" si="55"/>
        <v>0</v>
      </c>
      <c r="FC45" s="9">
        <f t="shared" si="56"/>
        <v>0</v>
      </c>
      <c r="FD45" s="9">
        <f t="shared" si="57"/>
        <v>0</v>
      </c>
      <c r="FE45" s="9">
        <f t="shared" si="58"/>
        <v>0</v>
      </c>
      <c r="FF45" s="9"/>
      <c r="FG45" s="9"/>
      <c r="FH45" s="9"/>
      <c r="FI45" s="27"/>
      <c r="FJ45" s="21">
        <v>7800</v>
      </c>
      <c r="FK45" s="28">
        <v>4095</v>
      </c>
      <c r="FL45" s="28">
        <v>5760</v>
      </c>
      <c r="FM45" s="29">
        <v>1140</v>
      </c>
      <c r="FN45" s="28">
        <v>0</v>
      </c>
      <c r="FO45" s="9"/>
    </row>
    <row r="46" spans="1:171">
      <c r="A46" s="2" t="s">
        <v>256</v>
      </c>
      <c r="B46" s="2">
        <v>100263</v>
      </c>
      <c r="C46" s="2">
        <v>2043358</v>
      </c>
      <c r="D46" s="2" t="s">
        <v>257</v>
      </c>
      <c r="E46" s="2">
        <v>231</v>
      </c>
      <c r="F46" s="2">
        <v>231</v>
      </c>
      <c r="G46" s="2">
        <v>28</v>
      </c>
      <c r="H46" s="2">
        <v>203</v>
      </c>
      <c r="I46" s="2">
        <v>0</v>
      </c>
      <c r="J46" s="2">
        <v>0</v>
      </c>
      <c r="K46" s="2">
        <v>0</v>
      </c>
      <c r="L46" s="2">
        <v>0</v>
      </c>
      <c r="M46" s="1">
        <f t="shared" si="5"/>
        <v>1066527</v>
      </c>
      <c r="N46" s="2">
        <v>0.445887445887446</v>
      </c>
      <c r="O46" s="2">
        <v>0</v>
      </c>
      <c r="P46" s="2">
        <f t="shared" si="6"/>
        <v>103.00000000000003</v>
      </c>
      <c r="Q46" s="2">
        <f t="shared" si="7"/>
        <v>0</v>
      </c>
      <c r="R46" s="1">
        <f t="shared" si="8"/>
        <v>58780.040000000008</v>
      </c>
      <c r="S46" s="2">
        <v>0.45021645021645001</v>
      </c>
      <c r="T46" s="2">
        <v>0</v>
      </c>
      <c r="U46" s="2">
        <f t="shared" si="9"/>
        <v>103.99999999999996</v>
      </c>
      <c r="V46" s="2">
        <f t="shared" si="10"/>
        <v>0</v>
      </c>
      <c r="W46" s="1">
        <f t="shared" si="11"/>
        <v>87171.759999999966</v>
      </c>
      <c r="X46" s="2">
        <v>0.168831168831169</v>
      </c>
      <c r="Y46" s="2">
        <v>0.19047619047618999</v>
      </c>
      <c r="Z46" s="2">
        <v>0.17316017316017299</v>
      </c>
      <c r="AA46" s="2">
        <v>0.12121212121212099</v>
      </c>
      <c r="AB46" s="2">
        <v>0.22077922077922099</v>
      </c>
      <c r="AC46" s="2">
        <v>6.9264069264069306E-2</v>
      </c>
      <c r="AD46" s="2">
        <f t="shared" ref="AD46:AI46" si="250">$F46*X46</f>
        <v>39.000000000000036</v>
      </c>
      <c r="AE46" s="2">
        <f t="shared" si="250"/>
        <v>43.999999999999886</v>
      </c>
      <c r="AF46" s="2">
        <f t="shared" si="250"/>
        <v>39.999999999999957</v>
      </c>
      <c r="AG46" s="2">
        <f t="shared" si="250"/>
        <v>27.99999999999995</v>
      </c>
      <c r="AH46" s="2">
        <f t="shared" si="250"/>
        <v>51.00000000000005</v>
      </c>
      <c r="AI46" s="2">
        <f t="shared" si="250"/>
        <v>16.000000000000011</v>
      </c>
      <c r="AJ46" s="1">
        <f t="shared" ref="AJ46:AO46" si="251">AD46*AJ$3</f>
        <v>10664.550000000008</v>
      </c>
      <c r="AK46" s="1">
        <f t="shared" si="251"/>
        <v>14647.59999999996</v>
      </c>
      <c r="AL46" s="1">
        <f t="shared" si="251"/>
        <v>20924.799999999977</v>
      </c>
      <c r="AM46" s="1">
        <f t="shared" si="251"/>
        <v>15979.03999999997</v>
      </c>
      <c r="AN46" s="1">
        <f t="shared" si="251"/>
        <v>30923.850000000031</v>
      </c>
      <c r="AO46" s="1">
        <f t="shared" si="251"/>
        <v>12745.28000000001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f t="shared" ref="AV46:BA46" si="252">$I46*AP46</f>
        <v>0</v>
      </c>
      <c r="AW46" s="2">
        <f t="shared" si="252"/>
        <v>0</v>
      </c>
      <c r="AX46" s="2">
        <f t="shared" si="252"/>
        <v>0</v>
      </c>
      <c r="AY46" s="2">
        <f t="shared" si="252"/>
        <v>0</v>
      </c>
      <c r="AZ46" s="2">
        <f t="shared" si="252"/>
        <v>0</v>
      </c>
      <c r="BA46" s="2">
        <f t="shared" si="252"/>
        <v>0</v>
      </c>
      <c r="BB46" s="1">
        <f t="shared" ref="BB46:BG46" si="253">AV46*BB$4</f>
        <v>0</v>
      </c>
      <c r="BC46" s="1">
        <f t="shared" si="253"/>
        <v>0</v>
      </c>
      <c r="BD46" s="1">
        <f t="shared" si="253"/>
        <v>0</v>
      </c>
      <c r="BE46" s="1">
        <f t="shared" si="253"/>
        <v>0</v>
      </c>
      <c r="BF46" s="1">
        <f t="shared" si="253"/>
        <v>0</v>
      </c>
      <c r="BG46" s="1">
        <f t="shared" si="253"/>
        <v>0</v>
      </c>
      <c r="BH46" s="1">
        <f t="shared" si="16"/>
        <v>105885.11999999997</v>
      </c>
      <c r="BI46" s="2">
        <v>0.17241379310344801</v>
      </c>
      <c r="BJ46" s="2">
        <v>0</v>
      </c>
      <c r="BK46" s="2">
        <f t="shared" si="17"/>
        <v>39.827586206896491</v>
      </c>
      <c r="BL46" s="2">
        <f t="shared" si="18"/>
        <v>0</v>
      </c>
      <c r="BM46" s="1">
        <f t="shared" si="19"/>
        <v>27463.908620689617</v>
      </c>
      <c r="BN46" s="2">
        <v>0.21749774513593567</v>
      </c>
      <c r="BO46" s="2">
        <f t="shared" si="20"/>
        <v>50.241979126401141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f t="shared" si="21"/>
        <v>0</v>
      </c>
      <c r="CA46" s="2">
        <f t="shared" si="22"/>
        <v>0</v>
      </c>
      <c r="CB46" s="1">
        <f t="shared" si="23"/>
        <v>68992.285736374048</v>
      </c>
      <c r="CC46" s="2">
        <v>2.5974025974026E-2</v>
      </c>
      <c r="CD46" s="2">
        <v>0</v>
      </c>
      <c r="CE46" s="2">
        <f t="shared" si="24"/>
        <v>0</v>
      </c>
      <c r="CF46" s="2">
        <f t="shared" si="25"/>
        <v>0</v>
      </c>
      <c r="CG46" s="1">
        <f t="shared" si="26"/>
        <v>0</v>
      </c>
      <c r="CH46" s="2">
        <v>152181.76000000001</v>
      </c>
      <c r="CI46" s="2">
        <v>12681</v>
      </c>
      <c r="CJ46" s="1">
        <f t="shared" si="27"/>
        <v>1017555</v>
      </c>
      <c r="CK46" s="2">
        <f t="shared" si="28"/>
        <v>0</v>
      </c>
      <c r="CL46" s="2">
        <v>1835067.6296000001</v>
      </c>
      <c r="CM46" s="22">
        <v>48413.520600000003</v>
      </c>
      <c r="CN46" s="22">
        <v>12681</v>
      </c>
      <c r="CO46" s="2">
        <f t="shared" si="29"/>
        <v>152181.76000000001</v>
      </c>
      <c r="CP46" s="2">
        <f t="shared" si="30"/>
        <v>1718618.3902</v>
      </c>
      <c r="CQ46" s="2">
        <v>279.25</v>
      </c>
      <c r="CR46" s="2">
        <f t="shared" si="31"/>
        <v>6154.407843151298</v>
      </c>
      <c r="CS46" s="2">
        <f t="shared" si="32"/>
        <v>6164.8703364846551</v>
      </c>
      <c r="CT46" s="2">
        <f t="shared" si="33"/>
        <v>1424085.0477279553</v>
      </c>
      <c r="CU46" s="2">
        <f t="shared" si="34"/>
        <v>12681</v>
      </c>
      <c r="CV46" s="2">
        <f t="shared" si="35"/>
        <v>152181.76000000001</v>
      </c>
      <c r="CW46" s="2">
        <f t="shared" si="36"/>
        <v>1588947.8077279553</v>
      </c>
      <c r="CX46" s="1">
        <f t="shared" si="37"/>
        <v>9264.9333708916674</v>
      </c>
      <c r="CY46" s="1">
        <f t="shared" si="38"/>
        <v>1588947.8077279553</v>
      </c>
      <c r="CZ46" s="2">
        <v>1</v>
      </c>
      <c r="DA46" s="2">
        <f t="shared" si="39"/>
        <v>2776.62</v>
      </c>
      <c r="DB46" s="2">
        <f t="shared" si="40"/>
        <v>3425.1724137930983</v>
      </c>
      <c r="DC46" s="2">
        <f t="shared" si="41"/>
        <v>780.78</v>
      </c>
      <c r="DD46" s="2">
        <f t="shared" si="42"/>
        <v>697.62</v>
      </c>
      <c r="DE46" s="2">
        <f t="shared" si="43"/>
        <v>2032.8000000000002</v>
      </c>
      <c r="DF46" s="2">
        <f t="shared" si="44"/>
        <v>6029.1</v>
      </c>
      <c r="DG46" s="1">
        <f t="shared" si="45"/>
        <v>15742.092413793098</v>
      </c>
      <c r="DH46" s="1">
        <f t="shared" si="46"/>
        <v>470822.66435706365</v>
      </c>
      <c r="DI46" s="9">
        <v>1</v>
      </c>
      <c r="DJ46" s="23">
        <v>5.36</v>
      </c>
      <c r="DK46" s="24">
        <v>0.5</v>
      </c>
      <c r="DL46" s="24">
        <v>0.16</v>
      </c>
      <c r="DM46" s="24">
        <v>0.45</v>
      </c>
      <c r="DN46" s="24">
        <v>0</v>
      </c>
      <c r="DO46" s="25">
        <v>6.47</v>
      </c>
      <c r="DP46" s="9">
        <v>7587</v>
      </c>
      <c r="DQ46" s="9">
        <v>16095</v>
      </c>
      <c r="DR46" s="9">
        <v>0</v>
      </c>
      <c r="DS46" s="9" t="str">
        <f t="shared" si="47"/>
        <v>6469459</v>
      </c>
      <c r="DT46" s="9">
        <f t="shared" si="48"/>
        <v>50903.609799999998</v>
      </c>
      <c r="DU46" s="26"/>
      <c r="DV46" s="9"/>
      <c r="DW46" s="9"/>
      <c r="DX46" s="9">
        <v>1579682.8743570638</v>
      </c>
      <c r="DY46" s="9">
        <v>470822.66435706365</v>
      </c>
      <c r="DZ46" s="9">
        <v>1588947.8077279553</v>
      </c>
      <c r="EA46" s="9">
        <v>1588947.8077279553</v>
      </c>
      <c r="EB46" s="9">
        <v>15742.092413793098</v>
      </c>
      <c r="EC46" s="9">
        <v>1573205.7153141622</v>
      </c>
      <c r="ED46" s="9">
        <v>5.36</v>
      </c>
      <c r="EE46" s="9">
        <v>0.5</v>
      </c>
      <c r="EF46" s="9">
        <v>0.16</v>
      </c>
      <c r="EG46" s="9">
        <v>0.45</v>
      </c>
      <c r="EH46" s="9">
        <v>0</v>
      </c>
      <c r="EI46" s="9">
        <v>6.47</v>
      </c>
      <c r="EJ46" s="9">
        <v>0</v>
      </c>
      <c r="EK46" s="9">
        <v>50903.609799999998</v>
      </c>
      <c r="EL46" s="9">
        <v>16095</v>
      </c>
      <c r="EM46" s="9">
        <v>7587</v>
      </c>
      <c r="EN46" s="9">
        <v>1642351.1369759929</v>
      </c>
      <c r="EO46" s="9">
        <v>1644847.1118392393</v>
      </c>
      <c r="EP46" s="9">
        <f t="shared" si="63"/>
        <v>0</v>
      </c>
      <c r="EQ46" s="9">
        <f t="shared" si="49"/>
        <v>0</v>
      </c>
      <c r="ER46" s="9">
        <f t="shared" si="50"/>
        <v>0</v>
      </c>
      <c r="ES46" s="9">
        <f t="shared" si="51"/>
        <v>0</v>
      </c>
      <c r="ET46" s="9">
        <f t="shared" si="52"/>
        <v>0</v>
      </c>
      <c r="EU46" s="9">
        <f t="shared" si="53"/>
        <v>0</v>
      </c>
      <c r="EV46" s="9">
        <f t="shared" ref="EV46:FA46" si="254">ROUND(ED46-DJ46,0)</f>
        <v>0</v>
      </c>
      <c r="EW46" s="9">
        <f t="shared" si="254"/>
        <v>0</v>
      </c>
      <c r="EX46" s="9">
        <f t="shared" si="254"/>
        <v>0</v>
      </c>
      <c r="EY46" s="9">
        <f t="shared" si="254"/>
        <v>0</v>
      </c>
      <c r="EZ46" s="9">
        <f t="shared" si="254"/>
        <v>0</v>
      </c>
      <c r="FA46" s="9">
        <f t="shared" si="254"/>
        <v>0</v>
      </c>
      <c r="FB46" s="9">
        <f t="shared" si="55"/>
        <v>0</v>
      </c>
      <c r="FC46" s="9">
        <f t="shared" si="56"/>
        <v>0</v>
      </c>
      <c r="FD46" s="9">
        <f t="shared" si="57"/>
        <v>0</v>
      </c>
      <c r="FE46" s="9">
        <f t="shared" si="58"/>
        <v>0</v>
      </c>
      <c r="FF46" s="9"/>
      <c r="FG46" s="9"/>
      <c r="FH46" s="9"/>
      <c r="FI46" s="27"/>
      <c r="FJ46" s="21">
        <v>8775</v>
      </c>
      <c r="FK46" s="28">
        <v>5460</v>
      </c>
      <c r="FL46" s="28">
        <v>7020</v>
      </c>
      <c r="FM46" s="29">
        <v>5700</v>
      </c>
      <c r="FN46" s="28">
        <v>0</v>
      </c>
      <c r="FO46" s="9"/>
    </row>
    <row r="47" spans="1:171">
      <c r="A47" s="2" t="s">
        <v>258</v>
      </c>
      <c r="B47" s="2">
        <v>100264</v>
      </c>
      <c r="C47" s="2">
        <v>2043371</v>
      </c>
      <c r="D47" s="2" t="s">
        <v>259</v>
      </c>
      <c r="E47" s="2">
        <v>194</v>
      </c>
      <c r="F47" s="2">
        <v>194</v>
      </c>
      <c r="G47" s="2">
        <v>27</v>
      </c>
      <c r="H47" s="2">
        <v>167</v>
      </c>
      <c r="I47" s="2">
        <v>0</v>
      </c>
      <c r="J47" s="2">
        <v>0</v>
      </c>
      <c r="K47" s="2">
        <v>0</v>
      </c>
      <c r="L47" s="2">
        <v>0</v>
      </c>
      <c r="M47" s="1">
        <f t="shared" si="5"/>
        <v>895698</v>
      </c>
      <c r="N47" s="2">
        <v>0.21134020618556701</v>
      </c>
      <c r="O47" s="2">
        <v>0</v>
      </c>
      <c r="P47" s="2">
        <f t="shared" si="6"/>
        <v>41</v>
      </c>
      <c r="Q47" s="2">
        <f t="shared" si="7"/>
        <v>0</v>
      </c>
      <c r="R47" s="1">
        <f t="shared" si="8"/>
        <v>23397.879999999997</v>
      </c>
      <c r="S47" s="2">
        <v>0.22680412371134001</v>
      </c>
      <c r="T47" s="2">
        <v>0</v>
      </c>
      <c r="U47" s="2">
        <f t="shared" si="9"/>
        <v>43.999999999999964</v>
      </c>
      <c r="V47" s="2">
        <f t="shared" si="10"/>
        <v>0</v>
      </c>
      <c r="W47" s="1">
        <f t="shared" si="11"/>
        <v>36880.359999999971</v>
      </c>
      <c r="X47" s="2">
        <v>9.3264248704663197E-2</v>
      </c>
      <c r="Y47" s="2">
        <v>0.15544041450777199</v>
      </c>
      <c r="Z47" s="2">
        <v>0.10880829015544</v>
      </c>
      <c r="AA47" s="2">
        <v>0.15544041450777199</v>
      </c>
      <c r="AB47" s="2">
        <v>0.19170984455958501</v>
      </c>
      <c r="AC47" s="2">
        <v>4.6632124352331598E-2</v>
      </c>
      <c r="AD47" s="2">
        <f t="shared" ref="AD47:AI47" si="255">$F47*X47</f>
        <v>18.09326424870466</v>
      </c>
      <c r="AE47" s="2">
        <f t="shared" si="255"/>
        <v>30.155440414507765</v>
      </c>
      <c r="AF47" s="2">
        <f t="shared" si="255"/>
        <v>21.108808290155359</v>
      </c>
      <c r="AG47" s="2">
        <f t="shared" si="255"/>
        <v>30.155440414507765</v>
      </c>
      <c r="AH47" s="2">
        <f t="shared" si="255"/>
        <v>37.19170984455949</v>
      </c>
      <c r="AI47" s="2">
        <f t="shared" si="255"/>
        <v>9.04663212435233</v>
      </c>
      <c r="AJ47" s="1">
        <f t="shared" ref="AJ47:AO47" si="256">AD47*AJ$3</f>
        <v>4947.6031088082891</v>
      </c>
      <c r="AK47" s="1">
        <f t="shared" si="256"/>
        <v>10038.746113989635</v>
      </c>
      <c r="AL47" s="1">
        <f t="shared" si="256"/>
        <v>11042.439792746072</v>
      </c>
      <c r="AM47" s="1">
        <f t="shared" si="256"/>
        <v>17209.106735751291</v>
      </c>
      <c r="AN47" s="1">
        <f t="shared" si="256"/>
        <v>22551.193264248646</v>
      </c>
      <c r="AO47" s="1">
        <f t="shared" si="256"/>
        <v>7206.366217616579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f t="shared" ref="AV47:BA47" si="257">$I47*AP47</f>
        <v>0</v>
      </c>
      <c r="AW47" s="2">
        <f t="shared" si="257"/>
        <v>0</v>
      </c>
      <c r="AX47" s="2">
        <f t="shared" si="257"/>
        <v>0</v>
      </c>
      <c r="AY47" s="2">
        <f t="shared" si="257"/>
        <v>0</v>
      </c>
      <c r="AZ47" s="2">
        <f t="shared" si="257"/>
        <v>0</v>
      </c>
      <c r="BA47" s="2">
        <f t="shared" si="257"/>
        <v>0</v>
      </c>
      <c r="BB47" s="1">
        <f t="shared" ref="BB47:BG47" si="258">AV47*BB$4</f>
        <v>0</v>
      </c>
      <c r="BC47" s="1">
        <f t="shared" si="258"/>
        <v>0</v>
      </c>
      <c r="BD47" s="1">
        <f t="shared" si="258"/>
        <v>0</v>
      </c>
      <c r="BE47" s="1">
        <f t="shared" si="258"/>
        <v>0</v>
      </c>
      <c r="BF47" s="1">
        <f t="shared" si="258"/>
        <v>0</v>
      </c>
      <c r="BG47" s="1">
        <f t="shared" si="258"/>
        <v>0</v>
      </c>
      <c r="BH47" s="1">
        <f t="shared" si="16"/>
        <v>72995.455233160523</v>
      </c>
      <c r="BI47" s="2">
        <v>7.1856287425149698E-2</v>
      </c>
      <c r="BJ47" s="2">
        <v>0</v>
      </c>
      <c r="BK47" s="2">
        <f t="shared" si="17"/>
        <v>13.940119760479041</v>
      </c>
      <c r="BL47" s="2">
        <f t="shared" si="18"/>
        <v>0</v>
      </c>
      <c r="BM47" s="1">
        <f t="shared" si="19"/>
        <v>9612.6883832335334</v>
      </c>
      <c r="BN47" s="2">
        <v>0.15361919748229735</v>
      </c>
      <c r="BO47" s="2">
        <f t="shared" si="20"/>
        <v>29.802124311565688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f t="shared" si="21"/>
        <v>0</v>
      </c>
      <c r="CA47" s="2">
        <f t="shared" si="22"/>
        <v>0</v>
      </c>
      <c r="CB47" s="1">
        <f t="shared" si="23"/>
        <v>40924.277104642002</v>
      </c>
      <c r="CC47" s="2">
        <v>2.06185567010309E-2</v>
      </c>
      <c r="CD47" s="2">
        <v>0</v>
      </c>
      <c r="CE47" s="2">
        <f t="shared" si="24"/>
        <v>0</v>
      </c>
      <c r="CF47" s="2">
        <f t="shared" si="25"/>
        <v>0</v>
      </c>
      <c r="CG47" s="1">
        <f t="shared" si="26"/>
        <v>0</v>
      </c>
      <c r="CH47" s="2">
        <v>152181.76000000001</v>
      </c>
      <c r="CI47" s="2">
        <v>5536</v>
      </c>
      <c r="CJ47" s="1">
        <f t="shared" si="27"/>
        <v>854570</v>
      </c>
      <c r="CK47" s="2">
        <f t="shared" si="28"/>
        <v>0</v>
      </c>
      <c r="CL47" s="2">
        <v>1309762.7518</v>
      </c>
      <c r="CM47" s="22">
        <v>32621.325000000001</v>
      </c>
      <c r="CN47" s="22">
        <v>5536</v>
      </c>
      <c r="CO47" s="2">
        <f t="shared" si="29"/>
        <v>152181.76000000001</v>
      </c>
      <c r="CP47" s="2">
        <f t="shared" si="30"/>
        <v>1184666.3167999999</v>
      </c>
      <c r="CQ47" s="2">
        <v>200</v>
      </c>
      <c r="CR47" s="2">
        <f t="shared" si="31"/>
        <v>5923.3315839999996</v>
      </c>
      <c r="CS47" s="2">
        <f t="shared" si="32"/>
        <v>5933.4012476928001</v>
      </c>
      <c r="CT47" s="2">
        <f t="shared" si="33"/>
        <v>1151079.8420524031</v>
      </c>
      <c r="CU47" s="2">
        <f t="shared" si="34"/>
        <v>5536</v>
      </c>
      <c r="CV47" s="2">
        <f t="shared" si="35"/>
        <v>152181.76000000001</v>
      </c>
      <c r="CW47" s="2">
        <f t="shared" si="36"/>
        <v>1308797.6020524031</v>
      </c>
      <c r="CX47" s="1">
        <f t="shared" si="37"/>
        <v>71571.181331367057</v>
      </c>
      <c r="CY47" s="1">
        <f t="shared" si="38"/>
        <v>1308797.6020524029</v>
      </c>
      <c r="CZ47" s="2">
        <v>1</v>
      </c>
      <c r="DA47" s="2">
        <f t="shared" si="39"/>
        <v>2331.88</v>
      </c>
      <c r="DB47" s="2">
        <f t="shared" si="40"/>
        <v>1198.8502994011976</v>
      </c>
      <c r="DC47" s="2">
        <f t="shared" si="41"/>
        <v>655.72</v>
      </c>
      <c r="DD47" s="2">
        <f t="shared" si="42"/>
        <v>585.88</v>
      </c>
      <c r="DE47" s="2">
        <f t="shared" si="43"/>
        <v>1707.2</v>
      </c>
      <c r="DF47" s="2">
        <f t="shared" si="44"/>
        <v>5063.4000000000005</v>
      </c>
      <c r="DG47" s="1">
        <f t="shared" si="45"/>
        <v>11542.9302994012</v>
      </c>
      <c r="DH47" s="1">
        <f t="shared" si="46"/>
        <v>312681.44072103605</v>
      </c>
      <c r="DI47" s="9">
        <v>1</v>
      </c>
      <c r="DJ47" s="23">
        <v>0</v>
      </c>
      <c r="DK47" s="24">
        <v>0</v>
      </c>
      <c r="DL47" s="24">
        <v>0</v>
      </c>
      <c r="DM47" s="24">
        <v>0</v>
      </c>
      <c r="DN47" s="24">
        <v>0</v>
      </c>
      <c r="DO47" s="25">
        <v>0</v>
      </c>
      <c r="DP47" s="9">
        <v>7417</v>
      </c>
      <c r="DQ47" s="9">
        <v>7685</v>
      </c>
      <c r="DR47" s="9">
        <v>0</v>
      </c>
      <c r="DS47" s="9" t="str">
        <f t="shared" si="47"/>
        <v>7846392</v>
      </c>
      <c r="DT47" s="9">
        <f t="shared" si="48"/>
        <v>38249.934239999995</v>
      </c>
      <c r="DU47" s="26"/>
      <c r="DV47" s="9"/>
      <c r="DW47" s="9"/>
      <c r="DX47" s="9">
        <v>1237226.4207210359</v>
      </c>
      <c r="DY47" s="9">
        <v>312681.44072103605</v>
      </c>
      <c r="DZ47" s="9">
        <v>1308797.6020524031</v>
      </c>
      <c r="EA47" s="9">
        <v>1308797.6020524031</v>
      </c>
      <c r="EB47" s="9">
        <v>11542.9302994012</v>
      </c>
      <c r="EC47" s="9">
        <v>1297254.6717530019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38249.934239999995</v>
      </c>
      <c r="EL47" s="9">
        <v>7685</v>
      </c>
      <c r="EM47" s="9">
        <v>7417</v>
      </c>
      <c r="EN47" s="9">
        <v>1349061.6356423404</v>
      </c>
      <c r="EO47" s="9">
        <v>1351071.1648533195</v>
      </c>
      <c r="EP47" s="9">
        <f t="shared" si="63"/>
        <v>0</v>
      </c>
      <c r="EQ47" s="9">
        <f t="shared" si="49"/>
        <v>0</v>
      </c>
      <c r="ER47" s="9">
        <f t="shared" si="50"/>
        <v>0</v>
      </c>
      <c r="ES47" s="9">
        <f t="shared" si="51"/>
        <v>0</v>
      </c>
      <c r="ET47" s="9">
        <f t="shared" si="52"/>
        <v>0</v>
      </c>
      <c r="EU47" s="9">
        <f t="shared" si="53"/>
        <v>0</v>
      </c>
      <c r="EV47" s="9">
        <f t="shared" ref="EV47:FA47" si="259">ROUND(ED47-DJ47,0)</f>
        <v>0</v>
      </c>
      <c r="EW47" s="9">
        <f t="shared" si="259"/>
        <v>0</v>
      </c>
      <c r="EX47" s="9">
        <f t="shared" si="259"/>
        <v>0</v>
      </c>
      <c r="EY47" s="9">
        <f t="shared" si="259"/>
        <v>0</v>
      </c>
      <c r="EZ47" s="9">
        <f t="shared" si="259"/>
        <v>0</v>
      </c>
      <c r="FA47" s="9">
        <f t="shared" si="259"/>
        <v>0</v>
      </c>
      <c r="FB47" s="9">
        <f t="shared" si="55"/>
        <v>0</v>
      </c>
      <c r="FC47" s="9">
        <f t="shared" si="56"/>
        <v>0</v>
      </c>
      <c r="FD47" s="9">
        <f t="shared" si="57"/>
        <v>0</v>
      </c>
      <c r="FE47" s="9">
        <f t="shared" si="58"/>
        <v>0</v>
      </c>
      <c r="FF47" s="9"/>
      <c r="FG47" s="9"/>
      <c r="FH47" s="9"/>
      <c r="FI47" s="27"/>
      <c r="FJ47" s="21">
        <v>0</v>
      </c>
      <c r="FK47" s="21">
        <v>0</v>
      </c>
      <c r="FL47" s="21">
        <v>0</v>
      </c>
      <c r="FM47" s="21" t="e">
        <v>#N/A</v>
      </c>
      <c r="FN47" s="21">
        <v>0</v>
      </c>
      <c r="FO47" s="9"/>
    </row>
    <row r="48" spans="1:171">
      <c r="A48" s="2" t="s">
        <v>260</v>
      </c>
      <c r="B48" s="2">
        <v>100266</v>
      </c>
      <c r="C48" s="2">
        <v>2043458</v>
      </c>
      <c r="D48" s="2" t="s">
        <v>261</v>
      </c>
      <c r="E48" s="2">
        <v>280</v>
      </c>
      <c r="F48" s="2">
        <v>280</v>
      </c>
      <c r="G48" s="2">
        <v>38</v>
      </c>
      <c r="H48" s="2">
        <v>242</v>
      </c>
      <c r="I48" s="2">
        <v>0</v>
      </c>
      <c r="J48" s="2">
        <v>0</v>
      </c>
      <c r="K48" s="2">
        <v>0</v>
      </c>
      <c r="L48" s="2">
        <v>0</v>
      </c>
      <c r="M48" s="1">
        <f t="shared" si="5"/>
        <v>1292760</v>
      </c>
      <c r="N48" s="2">
        <v>0.54285714285714304</v>
      </c>
      <c r="O48" s="2">
        <v>0</v>
      </c>
      <c r="P48" s="2">
        <f t="shared" si="6"/>
        <v>152.00000000000006</v>
      </c>
      <c r="Q48" s="2">
        <f t="shared" si="7"/>
        <v>0</v>
      </c>
      <c r="R48" s="1">
        <f t="shared" si="8"/>
        <v>86743.36000000003</v>
      </c>
      <c r="S48" s="2">
        <v>0.55357142857142905</v>
      </c>
      <c r="T48" s="2">
        <v>0</v>
      </c>
      <c r="U48" s="2">
        <f t="shared" si="9"/>
        <v>155.00000000000014</v>
      </c>
      <c r="V48" s="2">
        <f t="shared" si="10"/>
        <v>0</v>
      </c>
      <c r="W48" s="1">
        <f t="shared" si="11"/>
        <v>129919.45000000013</v>
      </c>
      <c r="X48" s="2">
        <v>1.7921146953405E-2</v>
      </c>
      <c r="Y48" s="2">
        <v>5.3763440860215103E-2</v>
      </c>
      <c r="Z48" s="2">
        <v>0.19354838709677399</v>
      </c>
      <c r="AA48" s="2">
        <v>0.40501792114695301</v>
      </c>
      <c r="AB48" s="2">
        <v>0.30107526881720398</v>
      </c>
      <c r="AC48" s="2">
        <v>1.0752688172042999E-2</v>
      </c>
      <c r="AD48" s="2">
        <f t="shared" ref="AD48:AI48" si="260">$F48*X48</f>
        <v>5.0179211469534</v>
      </c>
      <c r="AE48" s="2">
        <f t="shared" si="260"/>
        <v>15.053763440860228</v>
      </c>
      <c r="AF48" s="2">
        <f t="shared" si="260"/>
        <v>54.193548387096719</v>
      </c>
      <c r="AG48" s="2">
        <f t="shared" si="260"/>
        <v>113.40501792114684</v>
      </c>
      <c r="AH48" s="2">
        <f t="shared" si="260"/>
        <v>84.301075268817115</v>
      </c>
      <c r="AI48" s="2">
        <f t="shared" si="260"/>
        <v>3.0107526881720399</v>
      </c>
      <c r="AJ48" s="1">
        <f t="shared" ref="AJ48:AO48" si="261">AD48*AJ$3</f>
        <v>1372.1505376344071</v>
      </c>
      <c r="AK48" s="1">
        <f t="shared" si="261"/>
        <v>5011.3978494623698</v>
      </c>
      <c r="AL48" s="1">
        <f t="shared" si="261"/>
        <v>28349.729032258037</v>
      </c>
      <c r="AM48" s="1">
        <f t="shared" si="261"/>
        <v>64717.97562724007</v>
      </c>
      <c r="AN48" s="1">
        <f t="shared" si="261"/>
        <v>51115.956989247257</v>
      </c>
      <c r="AO48" s="1">
        <f t="shared" si="261"/>
        <v>2398.3053763440835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f t="shared" ref="AV48:BA48" si="262">$I48*AP48</f>
        <v>0</v>
      </c>
      <c r="AW48" s="2">
        <f t="shared" si="262"/>
        <v>0</v>
      </c>
      <c r="AX48" s="2">
        <f t="shared" si="262"/>
        <v>0</v>
      </c>
      <c r="AY48" s="2">
        <f t="shared" si="262"/>
        <v>0</v>
      </c>
      <c r="AZ48" s="2">
        <f t="shared" si="262"/>
        <v>0</v>
      </c>
      <c r="BA48" s="2">
        <f t="shared" si="262"/>
        <v>0</v>
      </c>
      <c r="BB48" s="1">
        <f t="shared" ref="BB48:BG48" si="263">AV48*BB$4</f>
        <v>0</v>
      </c>
      <c r="BC48" s="1">
        <f t="shared" si="263"/>
        <v>0</v>
      </c>
      <c r="BD48" s="1">
        <f t="shared" si="263"/>
        <v>0</v>
      </c>
      <c r="BE48" s="1">
        <f t="shared" si="263"/>
        <v>0</v>
      </c>
      <c r="BF48" s="1">
        <f t="shared" si="263"/>
        <v>0</v>
      </c>
      <c r="BG48" s="1">
        <f t="shared" si="263"/>
        <v>0</v>
      </c>
      <c r="BH48" s="1">
        <f t="shared" si="16"/>
        <v>152965.51541218621</v>
      </c>
      <c r="BI48" s="2">
        <v>0.21900826446280999</v>
      </c>
      <c r="BJ48" s="2">
        <v>0</v>
      </c>
      <c r="BK48" s="2">
        <f t="shared" si="17"/>
        <v>61.322314049586801</v>
      </c>
      <c r="BL48" s="2">
        <f t="shared" si="18"/>
        <v>0</v>
      </c>
      <c r="BM48" s="1">
        <f t="shared" si="19"/>
        <v>42286.028099173571</v>
      </c>
      <c r="BN48" s="2">
        <v>0.25109649122807032</v>
      </c>
      <c r="BO48" s="2">
        <f t="shared" si="20"/>
        <v>70.307017543859686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f t="shared" si="21"/>
        <v>0</v>
      </c>
      <c r="CA48" s="2">
        <f t="shared" si="22"/>
        <v>0</v>
      </c>
      <c r="CB48" s="1">
        <f t="shared" si="23"/>
        <v>96545.59649122812</v>
      </c>
      <c r="CC48" s="2">
        <v>5.7142857142857099E-2</v>
      </c>
      <c r="CD48" s="2">
        <v>0</v>
      </c>
      <c r="CE48" s="2">
        <f t="shared" si="24"/>
        <v>0</v>
      </c>
      <c r="CF48" s="2">
        <f t="shared" si="25"/>
        <v>0</v>
      </c>
      <c r="CG48" s="1">
        <f t="shared" si="26"/>
        <v>0</v>
      </c>
      <c r="CH48" s="2">
        <v>152181.76000000001</v>
      </c>
      <c r="CI48" s="2">
        <v>5484</v>
      </c>
      <c r="CJ48" s="1">
        <f t="shared" si="27"/>
        <v>1233400</v>
      </c>
      <c r="CK48" s="2">
        <f t="shared" si="28"/>
        <v>0</v>
      </c>
      <c r="CL48" s="2">
        <v>2022593.7638000001</v>
      </c>
      <c r="CM48" s="22">
        <v>55450.321300000003</v>
      </c>
      <c r="CN48" s="22">
        <v>5484</v>
      </c>
      <c r="CO48" s="2">
        <f t="shared" si="29"/>
        <v>152181.76000000001</v>
      </c>
      <c r="CP48" s="2">
        <f t="shared" si="30"/>
        <v>1920378.3251</v>
      </c>
      <c r="CQ48" s="2">
        <v>295</v>
      </c>
      <c r="CR48" s="2">
        <f t="shared" si="31"/>
        <v>6509.7570342372883</v>
      </c>
      <c r="CS48" s="2">
        <f t="shared" si="32"/>
        <v>6520.8236211954918</v>
      </c>
      <c r="CT48" s="2">
        <f t="shared" si="33"/>
        <v>1825830.6139347376</v>
      </c>
      <c r="CU48" s="2">
        <f t="shared" si="34"/>
        <v>5484</v>
      </c>
      <c r="CV48" s="2">
        <f t="shared" si="35"/>
        <v>152181.76000000001</v>
      </c>
      <c r="CW48" s="2">
        <f t="shared" si="36"/>
        <v>1983496.3739347376</v>
      </c>
      <c r="CX48" s="1">
        <f t="shared" si="37"/>
        <v>24610.663932149619</v>
      </c>
      <c r="CY48" s="1">
        <f t="shared" si="38"/>
        <v>1983496.3739347379</v>
      </c>
      <c r="CZ48" s="2">
        <v>1</v>
      </c>
      <c r="DA48" s="2">
        <f t="shared" si="39"/>
        <v>3365.6</v>
      </c>
      <c r="DB48" s="2">
        <f t="shared" si="40"/>
        <v>5273.7190082644647</v>
      </c>
      <c r="DC48" s="2">
        <f t="shared" si="41"/>
        <v>946.4</v>
      </c>
      <c r="DD48" s="2">
        <f t="shared" si="42"/>
        <v>845.6</v>
      </c>
      <c r="DE48" s="2">
        <f t="shared" si="43"/>
        <v>2464</v>
      </c>
      <c r="DF48" s="2">
        <f t="shared" si="44"/>
        <v>7308</v>
      </c>
      <c r="DG48" s="1">
        <f t="shared" si="45"/>
        <v>20203.319008264465</v>
      </c>
      <c r="DH48" s="1">
        <f t="shared" si="46"/>
        <v>641485.79000258807</v>
      </c>
      <c r="DI48" s="9">
        <v>1</v>
      </c>
      <c r="DJ48" s="23">
        <v>5.36</v>
      </c>
      <c r="DK48" s="24">
        <v>0.28999999999999998</v>
      </c>
      <c r="DL48" s="24">
        <v>0.18</v>
      </c>
      <c r="DM48" s="24">
        <v>0.45</v>
      </c>
      <c r="DN48" s="24">
        <v>0</v>
      </c>
      <c r="DO48" s="25">
        <v>6.28</v>
      </c>
      <c r="DP48" s="9">
        <v>7700</v>
      </c>
      <c r="DQ48" s="9">
        <v>24505</v>
      </c>
      <c r="DR48" s="9">
        <v>0</v>
      </c>
      <c r="DS48" s="9" t="str">
        <f t="shared" si="47"/>
        <v>6469459</v>
      </c>
      <c r="DT48" s="9">
        <f t="shared" si="48"/>
        <v>64142.234000000019</v>
      </c>
      <c r="DU48" s="26"/>
      <c r="DV48" s="9"/>
      <c r="DW48" s="9"/>
      <c r="DX48" s="9">
        <v>1958885.7100025886</v>
      </c>
      <c r="DY48" s="9">
        <v>641485.79000258795</v>
      </c>
      <c r="DZ48" s="9">
        <v>1983496.3739347376</v>
      </c>
      <c r="EA48" s="9">
        <v>1983496.3739347376</v>
      </c>
      <c r="EB48" s="9">
        <v>20203.319008264465</v>
      </c>
      <c r="EC48" s="9">
        <v>1963293.0549264732</v>
      </c>
      <c r="ED48" s="9">
        <v>5.36</v>
      </c>
      <c r="EE48" s="9">
        <v>0.28999999999999998</v>
      </c>
      <c r="EF48" s="9">
        <v>0.18</v>
      </c>
      <c r="EG48" s="9">
        <v>0.45</v>
      </c>
      <c r="EH48" s="9">
        <v>0</v>
      </c>
      <c r="EI48" s="9">
        <v>6.28</v>
      </c>
      <c r="EJ48" s="9">
        <v>0</v>
      </c>
      <c r="EK48" s="9">
        <v>64142.234000000019</v>
      </c>
      <c r="EL48" s="9">
        <v>24505</v>
      </c>
      <c r="EM48" s="9">
        <v>7700</v>
      </c>
      <c r="EN48" s="9">
        <v>2050843.8005064668</v>
      </c>
      <c r="EO48" s="9">
        <v>2054046.447797715</v>
      </c>
      <c r="EP48" s="9">
        <f t="shared" si="63"/>
        <v>0</v>
      </c>
      <c r="EQ48" s="9">
        <f t="shared" si="49"/>
        <v>0</v>
      </c>
      <c r="ER48" s="9">
        <f t="shared" si="50"/>
        <v>0</v>
      </c>
      <c r="ES48" s="9">
        <f t="shared" si="51"/>
        <v>0</v>
      </c>
      <c r="ET48" s="9">
        <f t="shared" si="52"/>
        <v>0</v>
      </c>
      <c r="EU48" s="9">
        <f t="shared" si="53"/>
        <v>0</v>
      </c>
      <c r="EV48" s="9">
        <f t="shared" ref="EV48:FA48" si="264">ROUND(ED48-DJ48,0)</f>
        <v>0</v>
      </c>
      <c r="EW48" s="9">
        <f t="shared" si="264"/>
        <v>0</v>
      </c>
      <c r="EX48" s="9">
        <f t="shared" si="264"/>
        <v>0</v>
      </c>
      <c r="EY48" s="9">
        <f t="shared" si="264"/>
        <v>0</v>
      </c>
      <c r="EZ48" s="9">
        <f t="shared" si="264"/>
        <v>0</v>
      </c>
      <c r="FA48" s="9">
        <f t="shared" si="264"/>
        <v>0</v>
      </c>
      <c r="FB48" s="9">
        <f t="shared" si="55"/>
        <v>0</v>
      </c>
      <c r="FC48" s="9">
        <f t="shared" si="56"/>
        <v>0</v>
      </c>
      <c r="FD48" s="9">
        <f t="shared" si="57"/>
        <v>0</v>
      </c>
      <c r="FE48" s="9">
        <f t="shared" si="58"/>
        <v>0</v>
      </c>
      <c r="FF48" s="9"/>
      <c r="FG48" s="9"/>
      <c r="FH48" s="9"/>
      <c r="FI48" s="27"/>
      <c r="FJ48" s="21">
        <v>9360</v>
      </c>
      <c r="FK48" s="28">
        <v>5460</v>
      </c>
      <c r="FL48" s="28">
        <v>6840</v>
      </c>
      <c r="FM48" s="29">
        <v>3420</v>
      </c>
      <c r="FN48" s="28">
        <v>0</v>
      </c>
      <c r="FO48" s="9"/>
    </row>
    <row r="49" spans="1:171">
      <c r="A49" s="2" t="s">
        <v>262</v>
      </c>
      <c r="B49" s="2">
        <v>100267</v>
      </c>
      <c r="C49" s="2">
        <v>2043543</v>
      </c>
      <c r="D49" s="2" t="s">
        <v>263</v>
      </c>
      <c r="E49" s="2">
        <v>139</v>
      </c>
      <c r="F49" s="2">
        <v>139</v>
      </c>
      <c r="G49" s="2">
        <v>12</v>
      </c>
      <c r="H49" s="2">
        <v>127</v>
      </c>
      <c r="I49" s="2">
        <v>0</v>
      </c>
      <c r="J49" s="2">
        <v>0</v>
      </c>
      <c r="K49" s="2">
        <v>0</v>
      </c>
      <c r="L49" s="2">
        <v>0</v>
      </c>
      <c r="M49" s="1">
        <f t="shared" si="5"/>
        <v>641763</v>
      </c>
      <c r="N49" s="2">
        <v>0.597122302158273</v>
      </c>
      <c r="O49" s="2">
        <v>0</v>
      </c>
      <c r="P49" s="2">
        <f t="shared" si="6"/>
        <v>82.999999999999943</v>
      </c>
      <c r="Q49" s="2">
        <f t="shared" si="7"/>
        <v>0</v>
      </c>
      <c r="R49" s="1">
        <f t="shared" si="8"/>
        <v>47366.439999999966</v>
      </c>
      <c r="S49" s="2">
        <v>0.611510791366906</v>
      </c>
      <c r="T49" s="2">
        <v>0</v>
      </c>
      <c r="U49" s="2">
        <f t="shared" si="9"/>
        <v>84.999999999999929</v>
      </c>
      <c r="V49" s="2">
        <f t="shared" si="10"/>
        <v>0</v>
      </c>
      <c r="W49" s="1">
        <f t="shared" si="11"/>
        <v>71246.149999999951</v>
      </c>
      <c r="X49" s="2">
        <v>5.0359712230215799E-2</v>
      </c>
      <c r="Y49" s="2">
        <v>0.24460431654676301</v>
      </c>
      <c r="Z49" s="2">
        <v>0.115107913669065</v>
      </c>
      <c r="AA49" s="2">
        <v>0.17985611510791399</v>
      </c>
      <c r="AB49" s="2">
        <v>0.26618705035971202</v>
      </c>
      <c r="AC49" s="2">
        <v>1.4388489208633099E-2</v>
      </c>
      <c r="AD49" s="2">
        <f t="shared" ref="AD49:AI49" si="265">$F49*X49</f>
        <v>6.9999999999999964</v>
      </c>
      <c r="AE49" s="2">
        <f t="shared" si="265"/>
        <v>34.000000000000057</v>
      </c>
      <c r="AF49" s="2">
        <f t="shared" si="265"/>
        <v>16.000000000000036</v>
      </c>
      <c r="AG49" s="2">
        <f t="shared" si="265"/>
        <v>25.000000000000046</v>
      </c>
      <c r="AH49" s="2">
        <f t="shared" si="265"/>
        <v>36.999999999999972</v>
      </c>
      <c r="AI49" s="2">
        <f t="shared" si="265"/>
        <v>2.0000000000000009</v>
      </c>
      <c r="AJ49" s="1">
        <f t="shared" ref="AJ49:AO49" si="266">AD49*AJ$3</f>
        <v>1914.149999999999</v>
      </c>
      <c r="AK49" s="1">
        <f t="shared" si="266"/>
        <v>11318.600000000019</v>
      </c>
      <c r="AL49" s="1">
        <f t="shared" si="266"/>
        <v>8369.9200000000183</v>
      </c>
      <c r="AM49" s="1">
        <f t="shared" si="266"/>
        <v>14267.000000000025</v>
      </c>
      <c r="AN49" s="1">
        <f t="shared" si="266"/>
        <v>22434.949999999983</v>
      </c>
      <c r="AO49" s="1">
        <f t="shared" si="266"/>
        <v>1593.1600000000008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f t="shared" ref="AV49:BA49" si="267">$I49*AP49</f>
        <v>0</v>
      </c>
      <c r="AW49" s="2">
        <f t="shared" si="267"/>
        <v>0</v>
      </c>
      <c r="AX49" s="2">
        <f t="shared" si="267"/>
        <v>0</v>
      </c>
      <c r="AY49" s="2">
        <f t="shared" si="267"/>
        <v>0</v>
      </c>
      <c r="AZ49" s="2">
        <f t="shared" si="267"/>
        <v>0</v>
      </c>
      <c r="BA49" s="2">
        <f t="shared" si="267"/>
        <v>0</v>
      </c>
      <c r="BB49" s="1">
        <f t="shared" ref="BB49:BG49" si="268">AV49*BB$4</f>
        <v>0</v>
      </c>
      <c r="BC49" s="1">
        <f t="shared" si="268"/>
        <v>0</v>
      </c>
      <c r="BD49" s="1">
        <f t="shared" si="268"/>
        <v>0</v>
      </c>
      <c r="BE49" s="1">
        <f t="shared" si="268"/>
        <v>0</v>
      </c>
      <c r="BF49" s="1">
        <f t="shared" si="268"/>
        <v>0</v>
      </c>
      <c r="BG49" s="1">
        <f t="shared" si="268"/>
        <v>0</v>
      </c>
      <c r="BH49" s="1">
        <f t="shared" si="16"/>
        <v>59897.780000000042</v>
      </c>
      <c r="BI49" s="2">
        <v>0.22834645669291301</v>
      </c>
      <c r="BJ49" s="2">
        <v>0</v>
      </c>
      <c r="BK49" s="2">
        <f t="shared" si="17"/>
        <v>31.74015748031491</v>
      </c>
      <c r="BL49" s="2">
        <f t="shared" si="18"/>
        <v>0</v>
      </c>
      <c r="BM49" s="1">
        <f t="shared" si="19"/>
        <v>21887.060393700755</v>
      </c>
      <c r="BN49" s="2">
        <v>0.2552845528455287</v>
      </c>
      <c r="BO49" s="2">
        <f t="shared" si="20"/>
        <v>35.484552845528491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f t="shared" si="21"/>
        <v>0</v>
      </c>
      <c r="CA49" s="2">
        <f t="shared" si="22"/>
        <v>0</v>
      </c>
      <c r="CB49" s="1">
        <f t="shared" si="23"/>
        <v>48727.387967479728</v>
      </c>
      <c r="CC49" s="2">
        <v>4.3478260869565202E-2</v>
      </c>
      <c r="CD49" s="2">
        <v>0</v>
      </c>
      <c r="CE49" s="2">
        <f t="shared" si="24"/>
        <v>0</v>
      </c>
      <c r="CF49" s="2">
        <f t="shared" si="25"/>
        <v>0</v>
      </c>
      <c r="CG49" s="1">
        <f t="shared" si="26"/>
        <v>0</v>
      </c>
      <c r="CH49" s="2">
        <v>152181.76000000001</v>
      </c>
      <c r="CI49" s="2">
        <v>3786</v>
      </c>
      <c r="CJ49" s="1">
        <f t="shared" si="27"/>
        <v>612295</v>
      </c>
      <c r="CK49" s="2">
        <f t="shared" si="28"/>
        <v>0</v>
      </c>
      <c r="CL49" s="2">
        <v>1182985.3019000001</v>
      </c>
      <c r="CM49" s="22">
        <v>33966.5098</v>
      </c>
      <c r="CN49" s="22">
        <v>3786</v>
      </c>
      <c r="CO49" s="2">
        <f t="shared" si="29"/>
        <v>152181.76000000001</v>
      </c>
      <c r="CP49" s="2">
        <f t="shared" si="30"/>
        <v>1060984.0517</v>
      </c>
      <c r="CQ49" s="2">
        <v>167</v>
      </c>
      <c r="CR49" s="2">
        <f t="shared" si="31"/>
        <v>6353.197914371257</v>
      </c>
      <c r="CS49" s="2">
        <f t="shared" si="32"/>
        <v>6363.9983508256882</v>
      </c>
      <c r="CT49" s="2">
        <f t="shared" si="33"/>
        <v>884595.77076477068</v>
      </c>
      <c r="CU49" s="2">
        <f t="shared" si="34"/>
        <v>3786</v>
      </c>
      <c r="CV49" s="2">
        <f t="shared" si="35"/>
        <v>152181.76000000001</v>
      </c>
      <c r="CW49" s="2">
        <f t="shared" si="36"/>
        <v>1040563.5307647707</v>
      </c>
      <c r="CX49" s="1">
        <f t="shared" si="37"/>
        <v>0</v>
      </c>
      <c r="CY49" s="1">
        <f t="shared" si="38"/>
        <v>1046855.5783611804</v>
      </c>
      <c r="CZ49" s="2">
        <v>1</v>
      </c>
      <c r="DA49" s="2">
        <f t="shared" si="39"/>
        <v>1670.78</v>
      </c>
      <c r="DB49" s="2">
        <f t="shared" si="40"/>
        <v>2729.6535433070821</v>
      </c>
      <c r="DC49" s="2">
        <f t="shared" si="41"/>
        <v>469.82</v>
      </c>
      <c r="DD49" s="2">
        <f t="shared" si="42"/>
        <v>419.78000000000003</v>
      </c>
      <c r="DE49" s="2">
        <f t="shared" si="43"/>
        <v>1223.2</v>
      </c>
      <c r="DF49" s="2">
        <f t="shared" si="44"/>
        <v>3627.9</v>
      </c>
      <c r="DG49" s="1">
        <f t="shared" si="45"/>
        <v>10141.133543307082</v>
      </c>
      <c r="DH49" s="1">
        <f t="shared" si="46"/>
        <v>310858.0883611805</v>
      </c>
      <c r="DI49" s="9">
        <v>1</v>
      </c>
      <c r="DJ49" s="23">
        <v>5.36</v>
      </c>
      <c r="DK49" s="24">
        <v>0.59</v>
      </c>
      <c r="DL49" s="24">
        <v>0.15</v>
      </c>
      <c r="DM49" s="24">
        <v>0.45</v>
      </c>
      <c r="DN49" s="24">
        <v>0</v>
      </c>
      <c r="DO49" s="25">
        <v>6.55</v>
      </c>
      <c r="DP49" s="9">
        <v>7287</v>
      </c>
      <c r="DQ49" s="9">
        <v>14790</v>
      </c>
      <c r="DR49" s="9">
        <v>0</v>
      </c>
      <c r="DS49" s="9" t="str">
        <f t="shared" si="47"/>
        <v>6469459</v>
      </c>
      <c r="DT49" s="9">
        <f t="shared" si="48"/>
        <v>35538.007719999994</v>
      </c>
      <c r="DU49" s="26"/>
      <c r="DV49" s="9"/>
      <c r="DW49" s="9"/>
      <c r="DX49" s="9">
        <v>1046855.5783611804</v>
      </c>
      <c r="DY49" s="9">
        <v>310858.08836118045</v>
      </c>
      <c r="DZ49" s="9">
        <v>1040563.5307647707</v>
      </c>
      <c r="EA49" s="9">
        <v>1046855.5783611804</v>
      </c>
      <c r="EB49" s="9">
        <v>10141.133543307082</v>
      </c>
      <c r="EC49" s="9">
        <v>1036714.4448178733</v>
      </c>
      <c r="ED49" s="9">
        <v>5.36</v>
      </c>
      <c r="EE49" s="9">
        <v>0.59</v>
      </c>
      <c r="EF49" s="9">
        <v>0.15</v>
      </c>
      <c r="EG49" s="9">
        <v>0.45</v>
      </c>
      <c r="EH49" s="9">
        <v>0</v>
      </c>
      <c r="EI49" s="9">
        <v>6.55</v>
      </c>
      <c r="EJ49" s="9">
        <v>0</v>
      </c>
      <c r="EK49" s="9">
        <v>35538.007719999994</v>
      </c>
      <c r="EL49" s="9">
        <v>14790</v>
      </c>
      <c r="EM49" s="9">
        <v>7287</v>
      </c>
      <c r="EN49" s="9">
        <v>1083960.7487157583</v>
      </c>
      <c r="EO49" s="9">
        <v>1085522.5814189625</v>
      </c>
      <c r="EP49" s="9">
        <f t="shared" si="63"/>
        <v>0</v>
      </c>
      <c r="EQ49" s="9">
        <f t="shared" si="49"/>
        <v>0</v>
      </c>
      <c r="ER49" s="9">
        <f t="shared" si="50"/>
        <v>0</v>
      </c>
      <c r="ES49" s="9">
        <f t="shared" si="51"/>
        <v>0</v>
      </c>
      <c r="ET49" s="9">
        <f t="shared" si="52"/>
        <v>0</v>
      </c>
      <c r="EU49" s="9">
        <f t="shared" si="53"/>
        <v>0</v>
      </c>
      <c r="EV49" s="9">
        <f t="shared" ref="EV49:FA49" si="269">ROUND(ED49-DJ49,0)</f>
        <v>0</v>
      </c>
      <c r="EW49" s="9">
        <f t="shared" si="269"/>
        <v>0</v>
      </c>
      <c r="EX49" s="9">
        <f t="shared" si="269"/>
        <v>0</v>
      </c>
      <c r="EY49" s="9">
        <f t="shared" si="269"/>
        <v>0</v>
      </c>
      <c r="EZ49" s="9">
        <f t="shared" si="269"/>
        <v>0</v>
      </c>
      <c r="FA49" s="9">
        <f t="shared" si="269"/>
        <v>0</v>
      </c>
      <c r="FB49" s="9">
        <f t="shared" si="55"/>
        <v>0</v>
      </c>
      <c r="FC49" s="9">
        <f t="shared" si="56"/>
        <v>0</v>
      </c>
      <c r="FD49" s="9">
        <f t="shared" si="57"/>
        <v>0</v>
      </c>
      <c r="FE49" s="9">
        <f t="shared" si="58"/>
        <v>0</v>
      </c>
      <c r="FF49" s="9"/>
      <c r="FG49" s="9"/>
      <c r="FH49" s="9"/>
      <c r="FI49" s="27"/>
      <c r="FJ49" s="21">
        <v>5265</v>
      </c>
      <c r="FK49" s="28">
        <v>2925</v>
      </c>
      <c r="FL49" s="28">
        <v>3600</v>
      </c>
      <c r="FM49" s="29">
        <v>0</v>
      </c>
      <c r="FN49" s="28">
        <v>0</v>
      </c>
      <c r="FO49" s="9"/>
    </row>
    <row r="50" spans="1:171">
      <c r="A50" s="2" t="s">
        <v>264</v>
      </c>
      <c r="B50" s="2">
        <v>100268</v>
      </c>
      <c r="C50" s="2">
        <v>2043553</v>
      </c>
      <c r="D50" s="2" t="s">
        <v>265</v>
      </c>
      <c r="E50" s="2">
        <v>185</v>
      </c>
      <c r="F50" s="2">
        <v>185</v>
      </c>
      <c r="G50" s="2">
        <v>26</v>
      </c>
      <c r="H50" s="2">
        <v>159</v>
      </c>
      <c r="I50" s="2">
        <v>0</v>
      </c>
      <c r="J50" s="2">
        <v>0</v>
      </c>
      <c r="K50" s="2">
        <v>0</v>
      </c>
      <c r="L50" s="2">
        <v>0</v>
      </c>
      <c r="M50" s="1">
        <f t="shared" si="5"/>
        <v>854145</v>
      </c>
      <c r="N50" s="2">
        <v>0.47027027027027002</v>
      </c>
      <c r="O50" s="2">
        <v>0</v>
      </c>
      <c r="P50" s="2">
        <f t="shared" si="6"/>
        <v>86.999999999999957</v>
      </c>
      <c r="Q50" s="2">
        <f t="shared" si="7"/>
        <v>0</v>
      </c>
      <c r="R50" s="1">
        <f t="shared" si="8"/>
        <v>49649.159999999974</v>
      </c>
      <c r="S50" s="2">
        <v>0.47567567567567598</v>
      </c>
      <c r="T50" s="2">
        <v>0</v>
      </c>
      <c r="U50" s="2">
        <f t="shared" si="9"/>
        <v>88.000000000000057</v>
      </c>
      <c r="V50" s="2">
        <f t="shared" si="10"/>
        <v>0</v>
      </c>
      <c r="W50" s="1">
        <f t="shared" si="11"/>
        <v>73760.720000000059</v>
      </c>
      <c r="X50" s="2">
        <v>1.0989010989011E-2</v>
      </c>
      <c r="Y50" s="2">
        <v>0.13186813186813201</v>
      </c>
      <c r="Z50" s="2">
        <v>0.19780219780219799</v>
      </c>
      <c r="AA50" s="2">
        <v>0.32967032967033</v>
      </c>
      <c r="AB50" s="2">
        <v>0.24725274725274701</v>
      </c>
      <c r="AC50" s="2">
        <v>1.0989010989011E-2</v>
      </c>
      <c r="AD50" s="2">
        <f t="shared" ref="AD50:AI50" si="270">$F50*X50</f>
        <v>2.0329670329670351</v>
      </c>
      <c r="AE50" s="2">
        <f t="shared" si="270"/>
        <v>24.395604395604423</v>
      </c>
      <c r="AF50" s="2">
        <f t="shared" si="270"/>
        <v>36.593406593406627</v>
      </c>
      <c r="AG50" s="2">
        <f t="shared" si="270"/>
        <v>60.989010989011049</v>
      </c>
      <c r="AH50" s="2">
        <f t="shared" si="270"/>
        <v>45.741758241758198</v>
      </c>
      <c r="AI50" s="2">
        <f t="shared" si="270"/>
        <v>2.0329670329670351</v>
      </c>
      <c r="AJ50" s="1">
        <f t="shared" ref="AJ50:AO50" si="271">AD50*AJ$3</f>
        <v>555.91483516483572</v>
      </c>
      <c r="AK50" s="1">
        <f t="shared" si="271"/>
        <v>8121.2967032967117</v>
      </c>
      <c r="AL50" s="1">
        <f t="shared" si="271"/>
        <v>19142.742857142875</v>
      </c>
      <c r="AM50" s="1">
        <f t="shared" si="271"/>
        <v>34805.208791208825</v>
      </c>
      <c r="AN50" s="1">
        <f t="shared" si="271"/>
        <v>27735.515109890086</v>
      </c>
      <c r="AO50" s="1">
        <f t="shared" si="271"/>
        <v>1619.420879120881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f t="shared" ref="AV50:BA50" si="272">$I50*AP50</f>
        <v>0</v>
      </c>
      <c r="AW50" s="2">
        <f t="shared" si="272"/>
        <v>0</v>
      </c>
      <c r="AX50" s="2">
        <f t="shared" si="272"/>
        <v>0</v>
      </c>
      <c r="AY50" s="2">
        <f t="shared" si="272"/>
        <v>0</v>
      </c>
      <c r="AZ50" s="2">
        <f t="shared" si="272"/>
        <v>0</v>
      </c>
      <c r="BA50" s="2">
        <f t="shared" si="272"/>
        <v>0</v>
      </c>
      <c r="BB50" s="1">
        <f t="shared" ref="BB50:BG50" si="273">AV50*BB$4</f>
        <v>0</v>
      </c>
      <c r="BC50" s="1">
        <f t="shared" si="273"/>
        <v>0</v>
      </c>
      <c r="BD50" s="1">
        <f t="shared" si="273"/>
        <v>0</v>
      </c>
      <c r="BE50" s="1">
        <f t="shared" si="273"/>
        <v>0</v>
      </c>
      <c r="BF50" s="1">
        <f t="shared" si="273"/>
        <v>0</v>
      </c>
      <c r="BG50" s="1">
        <f t="shared" si="273"/>
        <v>0</v>
      </c>
      <c r="BH50" s="1">
        <f t="shared" si="16"/>
        <v>91980.099175824216</v>
      </c>
      <c r="BI50" s="2">
        <v>0.42767295597484301</v>
      </c>
      <c r="BJ50" s="2">
        <v>0</v>
      </c>
      <c r="BK50" s="2">
        <f t="shared" si="17"/>
        <v>79.119496855345957</v>
      </c>
      <c r="BL50" s="2">
        <f t="shared" si="18"/>
        <v>0</v>
      </c>
      <c r="BM50" s="1">
        <f t="shared" si="19"/>
        <v>54558.431446540919</v>
      </c>
      <c r="BN50" s="2">
        <v>0.26111983254840393</v>
      </c>
      <c r="BO50" s="2">
        <f t="shared" si="20"/>
        <v>48.307169021454726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f t="shared" si="21"/>
        <v>0</v>
      </c>
      <c r="CA50" s="2">
        <f t="shared" si="22"/>
        <v>0</v>
      </c>
      <c r="CB50" s="1">
        <f t="shared" si="23"/>
        <v>66335.404500261633</v>
      </c>
      <c r="CC50" s="2">
        <v>5.4054054054054099E-2</v>
      </c>
      <c r="CD50" s="2">
        <v>0</v>
      </c>
      <c r="CE50" s="2">
        <f t="shared" si="24"/>
        <v>0</v>
      </c>
      <c r="CF50" s="2">
        <f t="shared" si="25"/>
        <v>0</v>
      </c>
      <c r="CG50" s="1">
        <f t="shared" si="26"/>
        <v>0</v>
      </c>
      <c r="CH50" s="2">
        <v>152181.76000000001</v>
      </c>
      <c r="CI50" s="2">
        <v>5797</v>
      </c>
      <c r="CJ50" s="1">
        <f t="shared" si="27"/>
        <v>814925</v>
      </c>
      <c r="CK50" s="2">
        <f t="shared" si="28"/>
        <v>0</v>
      </c>
      <c r="CL50" s="2">
        <v>1235925.3876</v>
      </c>
      <c r="CM50" s="22">
        <v>32121.922200000001</v>
      </c>
      <c r="CN50" s="22">
        <v>5797</v>
      </c>
      <c r="CO50" s="2">
        <f t="shared" si="29"/>
        <v>152181.76000000001</v>
      </c>
      <c r="CP50" s="2">
        <f t="shared" si="30"/>
        <v>1110068.5497999999</v>
      </c>
      <c r="CQ50" s="2">
        <v>172</v>
      </c>
      <c r="CR50" s="2">
        <f t="shared" si="31"/>
        <v>6453.8869174418596</v>
      </c>
      <c r="CS50" s="2">
        <f t="shared" si="32"/>
        <v>6464.8585252015109</v>
      </c>
      <c r="CT50" s="2">
        <f t="shared" si="33"/>
        <v>1195998.8271622795</v>
      </c>
      <c r="CU50" s="2">
        <f t="shared" si="34"/>
        <v>5797</v>
      </c>
      <c r="CV50" s="2">
        <f t="shared" si="35"/>
        <v>152181.76000000001</v>
      </c>
      <c r="CW50" s="2">
        <f t="shared" si="36"/>
        <v>1353977.5871622795</v>
      </c>
      <c r="CX50" s="1">
        <f t="shared" si="37"/>
        <v>5570.0120396527345</v>
      </c>
      <c r="CY50" s="1">
        <f t="shared" si="38"/>
        <v>1353977.5871622795</v>
      </c>
      <c r="CZ50" s="2">
        <v>1</v>
      </c>
      <c r="DA50" s="2">
        <f t="shared" si="39"/>
        <v>2223.6999999999998</v>
      </c>
      <c r="DB50" s="2">
        <f t="shared" si="40"/>
        <v>6804.2767295597523</v>
      </c>
      <c r="DC50" s="2">
        <f t="shared" si="41"/>
        <v>625.29999999999995</v>
      </c>
      <c r="DD50" s="2">
        <f t="shared" si="42"/>
        <v>558.70000000000005</v>
      </c>
      <c r="DE50" s="2">
        <f t="shared" si="43"/>
        <v>1628.0000000000002</v>
      </c>
      <c r="DF50" s="2">
        <f t="shared" si="44"/>
        <v>4828.5</v>
      </c>
      <c r="DG50" s="1">
        <f t="shared" si="45"/>
        <v>16668.476729559752</v>
      </c>
      <c r="DH50" s="1">
        <f t="shared" si="46"/>
        <v>431839.30512262689</v>
      </c>
      <c r="DI50" s="9">
        <v>1</v>
      </c>
      <c r="DJ50" s="23">
        <v>5.36</v>
      </c>
      <c r="DK50" s="24">
        <v>0.76</v>
      </c>
      <c r="DL50" s="24">
        <v>0.15</v>
      </c>
      <c r="DM50" s="24">
        <v>0.45</v>
      </c>
      <c r="DN50" s="24">
        <v>0</v>
      </c>
      <c r="DO50" s="25">
        <v>6.72</v>
      </c>
      <c r="DP50" s="9">
        <v>7275</v>
      </c>
      <c r="DQ50" s="9">
        <v>11455</v>
      </c>
      <c r="DR50" s="9">
        <v>0</v>
      </c>
      <c r="DS50" s="9" t="str">
        <f t="shared" si="47"/>
        <v>7278479</v>
      </c>
      <c r="DT50" s="9">
        <f t="shared" si="48"/>
        <v>42417.098840000006</v>
      </c>
      <c r="DU50" s="26"/>
      <c r="DV50" s="9"/>
      <c r="DW50" s="9"/>
      <c r="DX50" s="9">
        <v>1348407.5751226267</v>
      </c>
      <c r="DY50" s="9">
        <v>431839.30512262689</v>
      </c>
      <c r="DZ50" s="9">
        <v>1353977.5871622795</v>
      </c>
      <c r="EA50" s="9">
        <v>1353977.5871622795</v>
      </c>
      <c r="EB50" s="9">
        <v>16668.476729559752</v>
      </c>
      <c r="EC50" s="9">
        <v>1337309.1104327198</v>
      </c>
      <c r="ED50" s="9">
        <v>5.36</v>
      </c>
      <c r="EE50" s="9">
        <v>0.76</v>
      </c>
      <c r="EF50" s="9">
        <v>0.15</v>
      </c>
      <c r="EG50" s="9">
        <v>0.45</v>
      </c>
      <c r="EH50" s="9">
        <v>0</v>
      </c>
      <c r="EI50" s="9">
        <v>6.72</v>
      </c>
      <c r="EJ50" s="9">
        <v>0</v>
      </c>
      <c r="EK50" s="9">
        <v>42417.098840000006</v>
      </c>
      <c r="EL50" s="9">
        <v>11455</v>
      </c>
      <c r="EM50" s="9">
        <v>7275</v>
      </c>
      <c r="EN50" s="9">
        <v>1398492.2318067236</v>
      </c>
      <c r="EO50" s="9">
        <v>1400585.3493311822</v>
      </c>
      <c r="EP50" s="9">
        <f t="shared" si="63"/>
        <v>0</v>
      </c>
      <c r="EQ50" s="9">
        <f t="shared" si="49"/>
        <v>0</v>
      </c>
      <c r="ER50" s="9">
        <f t="shared" si="50"/>
        <v>0</v>
      </c>
      <c r="ES50" s="9">
        <f t="shared" si="51"/>
        <v>0</v>
      </c>
      <c r="ET50" s="9">
        <f t="shared" si="52"/>
        <v>0</v>
      </c>
      <c r="EU50" s="9">
        <f t="shared" si="53"/>
        <v>0</v>
      </c>
      <c r="EV50" s="9">
        <f t="shared" ref="EV50:FA50" si="274">ROUND(ED50-DJ50,0)</f>
        <v>0</v>
      </c>
      <c r="EW50" s="9">
        <f t="shared" si="274"/>
        <v>0</v>
      </c>
      <c r="EX50" s="9">
        <f t="shared" si="274"/>
        <v>0</v>
      </c>
      <c r="EY50" s="9">
        <f t="shared" si="274"/>
        <v>0</v>
      </c>
      <c r="EZ50" s="9">
        <f t="shared" si="274"/>
        <v>0</v>
      </c>
      <c r="FA50" s="9">
        <f t="shared" si="274"/>
        <v>0</v>
      </c>
      <c r="FB50" s="9">
        <f t="shared" si="55"/>
        <v>0</v>
      </c>
      <c r="FC50" s="9">
        <f t="shared" si="56"/>
        <v>0</v>
      </c>
      <c r="FD50" s="9">
        <f t="shared" si="57"/>
        <v>0</v>
      </c>
      <c r="FE50" s="9">
        <f t="shared" si="58"/>
        <v>0</v>
      </c>
      <c r="FF50" s="9"/>
      <c r="FG50" s="9"/>
      <c r="FH50" s="9"/>
      <c r="FI50" s="27"/>
      <c r="FJ50" s="21">
        <v>6045</v>
      </c>
      <c r="FK50" s="28">
        <v>1755</v>
      </c>
      <c r="FL50" s="28">
        <v>5220</v>
      </c>
      <c r="FM50" s="29">
        <v>9120</v>
      </c>
      <c r="FN50" s="28">
        <v>0</v>
      </c>
      <c r="FO50" s="9"/>
    </row>
    <row r="51" spans="1:171">
      <c r="A51" s="2" t="s">
        <v>266</v>
      </c>
      <c r="B51" s="2">
        <v>100269</v>
      </c>
      <c r="C51" s="2">
        <v>2043572</v>
      </c>
      <c r="D51" s="2" t="s">
        <v>267</v>
      </c>
      <c r="E51" s="2">
        <v>162</v>
      </c>
      <c r="F51" s="2">
        <v>162</v>
      </c>
      <c r="G51" s="2">
        <v>21</v>
      </c>
      <c r="H51" s="2">
        <v>141</v>
      </c>
      <c r="I51" s="2">
        <v>0</v>
      </c>
      <c r="J51" s="2">
        <v>0</v>
      </c>
      <c r="K51" s="2">
        <v>0</v>
      </c>
      <c r="L51" s="2">
        <v>1</v>
      </c>
      <c r="M51" s="1">
        <f t="shared" si="5"/>
        <v>747954</v>
      </c>
      <c r="N51" s="2">
        <v>0.60493827160493796</v>
      </c>
      <c r="O51" s="2">
        <v>0</v>
      </c>
      <c r="P51" s="2">
        <f t="shared" si="6"/>
        <v>97.999999999999943</v>
      </c>
      <c r="Q51" s="2">
        <f t="shared" si="7"/>
        <v>0</v>
      </c>
      <c r="R51" s="1">
        <f t="shared" si="8"/>
        <v>55926.639999999963</v>
      </c>
      <c r="S51" s="2">
        <v>0.61728395061728403</v>
      </c>
      <c r="T51" s="2">
        <v>0</v>
      </c>
      <c r="U51" s="2">
        <f t="shared" si="9"/>
        <v>100.00000000000001</v>
      </c>
      <c r="V51" s="2">
        <f t="shared" si="10"/>
        <v>0</v>
      </c>
      <c r="W51" s="1">
        <f t="shared" si="11"/>
        <v>83819.000000000015</v>
      </c>
      <c r="X51" s="2">
        <v>5.5900621118012403E-2</v>
      </c>
      <c r="Y51" s="2">
        <v>0.19254658385093201</v>
      </c>
      <c r="Z51" s="2">
        <v>0.23602484472049701</v>
      </c>
      <c r="AA51" s="2">
        <v>0.15527950310558999</v>
      </c>
      <c r="AB51" s="2">
        <v>0.31677018633540399</v>
      </c>
      <c r="AC51" s="2">
        <v>1.8633540372670801E-2</v>
      </c>
      <c r="AD51" s="2">
        <f t="shared" ref="AD51:AI51" si="275">$F51*X51</f>
        <v>9.0559006211180098</v>
      </c>
      <c r="AE51" s="2">
        <f t="shared" si="275"/>
        <v>31.192546583850987</v>
      </c>
      <c r="AF51" s="2">
        <f t="shared" si="275"/>
        <v>38.236024844720518</v>
      </c>
      <c r="AG51" s="2">
        <f t="shared" si="275"/>
        <v>25.155279503105579</v>
      </c>
      <c r="AH51" s="2">
        <f t="shared" si="275"/>
        <v>51.316770186335447</v>
      </c>
      <c r="AI51" s="2">
        <f t="shared" si="275"/>
        <v>3.0186335403726696</v>
      </c>
      <c r="AJ51" s="1">
        <f t="shared" ref="AJ51:AO51" si="276">AD51*AJ$3</f>
        <v>2476.3360248447198</v>
      </c>
      <c r="AK51" s="1">
        <f t="shared" si="276"/>
        <v>10383.998757763993</v>
      </c>
      <c r="AL51" s="1">
        <f t="shared" si="276"/>
        <v>20002.029316770197</v>
      </c>
      <c r="AM51" s="1">
        <f t="shared" si="276"/>
        <v>14355.61490683229</v>
      </c>
      <c r="AN51" s="1">
        <f t="shared" si="276"/>
        <v>31115.923602484498</v>
      </c>
      <c r="AO51" s="1">
        <f t="shared" si="276"/>
        <v>2404.5831055900612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f t="shared" ref="AV51:BA51" si="277">$I51*AP51</f>
        <v>0</v>
      </c>
      <c r="AW51" s="2">
        <f t="shared" si="277"/>
        <v>0</v>
      </c>
      <c r="AX51" s="2">
        <f t="shared" si="277"/>
        <v>0</v>
      </c>
      <c r="AY51" s="2">
        <f t="shared" si="277"/>
        <v>0</v>
      </c>
      <c r="AZ51" s="2">
        <f t="shared" si="277"/>
        <v>0</v>
      </c>
      <c r="BA51" s="2">
        <f t="shared" si="277"/>
        <v>0</v>
      </c>
      <c r="BB51" s="1">
        <f t="shared" ref="BB51:BG51" si="278">AV51*BB$4</f>
        <v>0</v>
      </c>
      <c r="BC51" s="1">
        <f t="shared" si="278"/>
        <v>0</v>
      </c>
      <c r="BD51" s="1">
        <f t="shared" si="278"/>
        <v>0</v>
      </c>
      <c r="BE51" s="1">
        <f t="shared" si="278"/>
        <v>0</v>
      </c>
      <c r="BF51" s="1">
        <f t="shared" si="278"/>
        <v>0</v>
      </c>
      <c r="BG51" s="1">
        <f t="shared" si="278"/>
        <v>0</v>
      </c>
      <c r="BH51" s="1">
        <f t="shared" si="16"/>
        <v>80738.485714285765</v>
      </c>
      <c r="BI51" s="2">
        <v>0.134751773049645</v>
      </c>
      <c r="BJ51" s="2">
        <v>0</v>
      </c>
      <c r="BK51" s="2">
        <f t="shared" si="17"/>
        <v>21.829787234042492</v>
      </c>
      <c r="BL51" s="2">
        <f t="shared" si="18"/>
        <v>0</v>
      </c>
      <c r="BM51" s="1">
        <f t="shared" si="19"/>
        <v>15053.166382978681</v>
      </c>
      <c r="BN51" s="2">
        <v>0.30413625304136244</v>
      </c>
      <c r="BO51" s="2">
        <f t="shared" si="20"/>
        <v>49.270072992700712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f t="shared" si="21"/>
        <v>0</v>
      </c>
      <c r="CA51" s="2">
        <f t="shared" si="22"/>
        <v>0</v>
      </c>
      <c r="CB51" s="1">
        <f t="shared" si="23"/>
        <v>67657.664233576623</v>
      </c>
      <c r="CC51" s="2">
        <v>4.3209876543209902E-2</v>
      </c>
      <c r="CD51" s="2">
        <v>0</v>
      </c>
      <c r="CE51" s="2">
        <f t="shared" si="24"/>
        <v>0</v>
      </c>
      <c r="CF51" s="2">
        <f t="shared" si="25"/>
        <v>0</v>
      </c>
      <c r="CG51" s="1">
        <f t="shared" si="26"/>
        <v>0</v>
      </c>
      <c r="CH51" s="2">
        <v>152181.76000000001</v>
      </c>
      <c r="CI51" s="2">
        <v>3786</v>
      </c>
      <c r="CJ51" s="1">
        <f t="shared" si="27"/>
        <v>713610</v>
      </c>
      <c r="CK51" s="2">
        <f t="shared" si="28"/>
        <v>0</v>
      </c>
      <c r="CL51" s="2">
        <v>1220709.6978</v>
      </c>
      <c r="CM51" s="22">
        <v>34384.0628</v>
      </c>
      <c r="CN51" s="22">
        <v>3786</v>
      </c>
      <c r="CO51" s="2">
        <f t="shared" si="29"/>
        <v>152181.76000000001</v>
      </c>
      <c r="CP51" s="2">
        <f t="shared" si="30"/>
        <v>1099126.0005999999</v>
      </c>
      <c r="CQ51" s="2">
        <v>168</v>
      </c>
      <c r="CR51" s="2">
        <f t="shared" si="31"/>
        <v>6542.4166702380944</v>
      </c>
      <c r="CS51" s="2">
        <f t="shared" si="32"/>
        <v>6553.5387785774992</v>
      </c>
      <c r="CT51" s="2">
        <f t="shared" si="33"/>
        <v>1061673.2821295548</v>
      </c>
      <c r="CU51" s="2">
        <f t="shared" si="34"/>
        <v>3786</v>
      </c>
      <c r="CV51" s="2">
        <f t="shared" si="35"/>
        <v>152181.76000000001</v>
      </c>
      <c r="CW51" s="2">
        <f t="shared" si="36"/>
        <v>1217641.0421295548</v>
      </c>
      <c r="CX51" s="1">
        <f t="shared" si="37"/>
        <v>10524.325798713777</v>
      </c>
      <c r="CY51" s="1">
        <f t="shared" si="38"/>
        <v>1217641.0421295548</v>
      </c>
      <c r="CZ51" s="2">
        <v>1</v>
      </c>
      <c r="DA51" s="2">
        <f t="shared" si="39"/>
        <v>1947.24</v>
      </c>
      <c r="DB51" s="2">
        <f t="shared" si="40"/>
        <v>1877.3617021276543</v>
      </c>
      <c r="DC51" s="2">
        <f t="shared" si="41"/>
        <v>547.55999999999995</v>
      </c>
      <c r="DD51" s="2">
        <f t="shared" si="42"/>
        <v>489.24</v>
      </c>
      <c r="DE51" s="2">
        <f t="shared" si="43"/>
        <v>1425.6000000000001</v>
      </c>
      <c r="DF51" s="2">
        <f t="shared" si="44"/>
        <v>4228.2</v>
      </c>
      <c r="DG51" s="1">
        <f t="shared" si="45"/>
        <v>10515.201702127655</v>
      </c>
      <c r="DH51" s="1">
        <f t="shared" si="46"/>
        <v>374420.4963308411</v>
      </c>
      <c r="DI51" s="9">
        <v>1</v>
      </c>
      <c r="DJ51" s="23">
        <v>5.36</v>
      </c>
      <c r="DK51" s="24">
        <v>0.48</v>
      </c>
      <c r="DL51" s="24">
        <v>0.17</v>
      </c>
      <c r="DM51" s="24">
        <v>0.45</v>
      </c>
      <c r="DN51" s="24">
        <v>0</v>
      </c>
      <c r="DO51" s="25">
        <v>6.46</v>
      </c>
      <c r="DP51" s="9">
        <v>7267</v>
      </c>
      <c r="DQ51" s="9">
        <v>15515</v>
      </c>
      <c r="DR51" s="9">
        <v>0</v>
      </c>
      <c r="DS51" s="9" t="str">
        <f t="shared" si="47"/>
        <v>8353154</v>
      </c>
      <c r="DT51" s="9">
        <f t="shared" si="48"/>
        <v>40646.79696</v>
      </c>
      <c r="DU51" s="26"/>
      <c r="DV51" s="9"/>
      <c r="DW51" s="9"/>
      <c r="DX51" s="9">
        <v>1207116.716330841</v>
      </c>
      <c r="DY51" s="9">
        <v>374420.4963308411</v>
      </c>
      <c r="DZ51" s="9">
        <v>1217641.0421295548</v>
      </c>
      <c r="EA51" s="9">
        <v>1217641.0421295548</v>
      </c>
      <c r="EB51" s="9">
        <v>10515.201702127655</v>
      </c>
      <c r="EC51" s="9">
        <v>1207125.8404274271</v>
      </c>
      <c r="ED51" s="9">
        <v>5.36</v>
      </c>
      <c r="EE51" s="9">
        <v>0.48</v>
      </c>
      <c r="EF51" s="9">
        <v>0.17</v>
      </c>
      <c r="EG51" s="9">
        <v>0.45</v>
      </c>
      <c r="EH51" s="9">
        <v>0</v>
      </c>
      <c r="EI51" s="9">
        <v>6.46</v>
      </c>
      <c r="EJ51" s="9">
        <v>0</v>
      </c>
      <c r="EK51" s="9">
        <v>40646.79696</v>
      </c>
      <c r="EL51" s="9">
        <v>15515</v>
      </c>
      <c r="EM51" s="9">
        <v>7267</v>
      </c>
      <c r="EN51" s="9">
        <v>1260154.021954247</v>
      </c>
      <c r="EO51" s="9">
        <v>1262015.3832219564</v>
      </c>
      <c r="EP51" s="9">
        <f t="shared" si="63"/>
        <v>0</v>
      </c>
      <c r="EQ51" s="9">
        <f t="shared" si="49"/>
        <v>0</v>
      </c>
      <c r="ER51" s="9">
        <f t="shared" si="50"/>
        <v>0</v>
      </c>
      <c r="ES51" s="9">
        <f t="shared" si="51"/>
        <v>0</v>
      </c>
      <c r="ET51" s="9">
        <f t="shared" si="52"/>
        <v>0</v>
      </c>
      <c r="EU51" s="9">
        <f t="shared" si="53"/>
        <v>0</v>
      </c>
      <c r="EV51" s="9">
        <f t="shared" ref="EV51:FA51" si="279">ROUND(ED51-DJ51,0)</f>
        <v>0</v>
      </c>
      <c r="EW51" s="9">
        <f t="shared" si="279"/>
        <v>0</v>
      </c>
      <c r="EX51" s="9">
        <f t="shared" si="279"/>
        <v>0</v>
      </c>
      <c r="EY51" s="9">
        <f t="shared" si="279"/>
        <v>0</v>
      </c>
      <c r="EZ51" s="9">
        <f t="shared" si="279"/>
        <v>0</v>
      </c>
      <c r="FA51" s="9">
        <f t="shared" si="279"/>
        <v>0</v>
      </c>
      <c r="FB51" s="9">
        <f t="shared" si="55"/>
        <v>0</v>
      </c>
      <c r="FC51" s="9">
        <f t="shared" si="56"/>
        <v>0</v>
      </c>
      <c r="FD51" s="9">
        <f t="shared" si="57"/>
        <v>0</v>
      </c>
      <c r="FE51" s="9">
        <f t="shared" si="58"/>
        <v>0</v>
      </c>
      <c r="FF51" s="9"/>
      <c r="FG51" s="9"/>
      <c r="FH51" s="9"/>
      <c r="FI51" s="27"/>
      <c r="FJ51" s="21">
        <v>8775</v>
      </c>
      <c r="FK51" s="28">
        <v>5460</v>
      </c>
      <c r="FL51" s="28">
        <v>7560</v>
      </c>
      <c r="FM51" s="29">
        <v>5700</v>
      </c>
      <c r="FN51" s="28">
        <v>0</v>
      </c>
      <c r="FO51" s="9"/>
    </row>
    <row r="52" spans="1:171">
      <c r="A52" s="2" t="s">
        <v>268</v>
      </c>
      <c r="B52" s="2">
        <v>100270</v>
      </c>
      <c r="C52" s="2">
        <v>2043616</v>
      </c>
      <c r="D52" s="2" t="s">
        <v>269</v>
      </c>
      <c r="E52" s="2">
        <v>119</v>
      </c>
      <c r="F52" s="2">
        <v>119</v>
      </c>
      <c r="G52" s="2">
        <v>15</v>
      </c>
      <c r="H52" s="2">
        <v>104</v>
      </c>
      <c r="I52" s="2">
        <v>0</v>
      </c>
      <c r="J52" s="2">
        <v>0</v>
      </c>
      <c r="K52" s="2">
        <v>0</v>
      </c>
      <c r="L52" s="2">
        <v>2</v>
      </c>
      <c r="M52" s="1">
        <f t="shared" si="5"/>
        <v>549423</v>
      </c>
      <c r="N52" s="2">
        <v>0.57983193277310896</v>
      </c>
      <c r="O52" s="2">
        <v>0</v>
      </c>
      <c r="P52" s="2">
        <f t="shared" si="6"/>
        <v>68.999999999999972</v>
      </c>
      <c r="Q52" s="2">
        <f t="shared" si="7"/>
        <v>0</v>
      </c>
      <c r="R52" s="1">
        <f t="shared" si="8"/>
        <v>39376.919999999984</v>
      </c>
      <c r="S52" s="2">
        <v>0.58823529411764697</v>
      </c>
      <c r="T52" s="2">
        <v>0</v>
      </c>
      <c r="U52" s="2">
        <f t="shared" si="9"/>
        <v>69.999999999999986</v>
      </c>
      <c r="V52" s="2">
        <f t="shared" si="10"/>
        <v>0</v>
      </c>
      <c r="W52" s="1">
        <f t="shared" si="11"/>
        <v>58673.299999999988</v>
      </c>
      <c r="X52" s="2">
        <v>0.19327731092437</v>
      </c>
      <c r="Y52" s="2">
        <v>0.20168067226890801</v>
      </c>
      <c r="Z52" s="2">
        <v>0.14285714285714299</v>
      </c>
      <c r="AA52" s="2">
        <v>0.109243697478992</v>
      </c>
      <c r="AB52" s="2">
        <v>0.32773109243697501</v>
      </c>
      <c r="AC52" s="2">
        <v>0</v>
      </c>
      <c r="AD52" s="2">
        <f t="shared" ref="AD52:AI52" si="280">$F52*X52</f>
        <v>23.000000000000032</v>
      </c>
      <c r="AE52" s="2">
        <f t="shared" si="280"/>
        <v>24.000000000000053</v>
      </c>
      <c r="AF52" s="2">
        <f t="shared" si="280"/>
        <v>17.000000000000014</v>
      </c>
      <c r="AG52" s="2">
        <f t="shared" si="280"/>
        <v>13.000000000000048</v>
      </c>
      <c r="AH52" s="2">
        <f t="shared" si="280"/>
        <v>39.000000000000028</v>
      </c>
      <c r="AI52" s="2">
        <f t="shared" si="280"/>
        <v>0</v>
      </c>
      <c r="AJ52" s="1">
        <f t="shared" ref="AJ52:AO52" si="281">AD52*AJ$3</f>
        <v>6289.3500000000085</v>
      </c>
      <c r="AK52" s="1">
        <f t="shared" si="281"/>
        <v>7989.6000000000176</v>
      </c>
      <c r="AL52" s="1">
        <f t="shared" si="281"/>
        <v>8893.0400000000081</v>
      </c>
      <c r="AM52" s="1">
        <f t="shared" si="281"/>
        <v>7418.8400000000265</v>
      </c>
      <c r="AN52" s="1">
        <f t="shared" si="281"/>
        <v>23647.65000000002</v>
      </c>
      <c r="AO52" s="1">
        <f t="shared" si="281"/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f t="shared" ref="AV52:BA52" si="282">$I52*AP52</f>
        <v>0</v>
      </c>
      <c r="AW52" s="2">
        <f t="shared" si="282"/>
        <v>0</v>
      </c>
      <c r="AX52" s="2">
        <f t="shared" si="282"/>
        <v>0</v>
      </c>
      <c r="AY52" s="2">
        <f t="shared" si="282"/>
        <v>0</v>
      </c>
      <c r="AZ52" s="2">
        <f t="shared" si="282"/>
        <v>0</v>
      </c>
      <c r="BA52" s="2">
        <f t="shared" si="282"/>
        <v>0</v>
      </c>
      <c r="BB52" s="1">
        <f t="shared" ref="BB52:BG52" si="283">AV52*BB$4</f>
        <v>0</v>
      </c>
      <c r="BC52" s="1">
        <f t="shared" si="283"/>
        <v>0</v>
      </c>
      <c r="BD52" s="1">
        <f t="shared" si="283"/>
        <v>0</v>
      </c>
      <c r="BE52" s="1">
        <f t="shared" si="283"/>
        <v>0</v>
      </c>
      <c r="BF52" s="1">
        <f t="shared" si="283"/>
        <v>0</v>
      </c>
      <c r="BG52" s="1">
        <f t="shared" si="283"/>
        <v>0</v>
      </c>
      <c r="BH52" s="1">
        <f t="shared" si="16"/>
        <v>54238.480000000083</v>
      </c>
      <c r="BI52" s="2">
        <v>0.134615384615385</v>
      </c>
      <c r="BJ52" s="2">
        <v>0</v>
      </c>
      <c r="BK52" s="2">
        <f t="shared" si="17"/>
        <v>16.019230769230816</v>
      </c>
      <c r="BL52" s="2">
        <f t="shared" si="18"/>
        <v>0</v>
      </c>
      <c r="BM52" s="1">
        <f t="shared" si="19"/>
        <v>11046.380961538494</v>
      </c>
      <c r="BN52" s="2">
        <v>0.27314814814814847</v>
      </c>
      <c r="BO52" s="2">
        <f t="shared" si="20"/>
        <v>32.504629629629669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f t="shared" si="21"/>
        <v>0</v>
      </c>
      <c r="CA52" s="2">
        <f t="shared" si="22"/>
        <v>0</v>
      </c>
      <c r="CB52" s="1">
        <f t="shared" si="23"/>
        <v>44635.357407407464</v>
      </c>
      <c r="CC52" s="2">
        <v>6.7226890756302504E-2</v>
      </c>
      <c r="CD52" s="2">
        <v>0</v>
      </c>
      <c r="CE52" s="2">
        <f t="shared" si="24"/>
        <v>0.85999999999999832</v>
      </c>
      <c r="CF52" s="2">
        <f t="shared" si="25"/>
        <v>0</v>
      </c>
      <c r="CG52" s="1">
        <f t="shared" si="26"/>
        <v>966.23579999999811</v>
      </c>
      <c r="CH52" s="2">
        <v>152181.76000000001</v>
      </c>
      <c r="CI52" s="2">
        <v>3786</v>
      </c>
      <c r="CJ52" s="1">
        <f t="shared" si="27"/>
        <v>524195</v>
      </c>
      <c r="CK52" s="2">
        <f t="shared" si="28"/>
        <v>0</v>
      </c>
      <c r="CL52" s="2">
        <v>1009518.3308999999</v>
      </c>
      <c r="CM52" s="22">
        <v>28411.394700000001</v>
      </c>
      <c r="CN52" s="22">
        <v>3786</v>
      </c>
      <c r="CO52" s="2">
        <f t="shared" si="29"/>
        <v>152181.76000000001</v>
      </c>
      <c r="CP52" s="2">
        <f t="shared" si="30"/>
        <v>881961.96559999988</v>
      </c>
      <c r="CQ52" s="2">
        <v>138</v>
      </c>
      <c r="CR52" s="2">
        <f t="shared" si="31"/>
        <v>6391.0287362318832</v>
      </c>
      <c r="CS52" s="2">
        <f t="shared" si="32"/>
        <v>6401.8934850834776</v>
      </c>
      <c r="CT52" s="2">
        <f t="shared" si="33"/>
        <v>761825.32472493383</v>
      </c>
      <c r="CU52" s="2">
        <f t="shared" si="34"/>
        <v>3786</v>
      </c>
      <c r="CV52" s="2">
        <f t="shared" si="35"/>
        <v>152181.76000000001</v>
      </c>
      <c r="CW52" s="2">
        <f t="shared" si="36"/>
        <v>917793.08472493384</v>
      </c>
      <c r="CX52" s="1">
        <f t="shared" si="37"/>
        <v>3465.6505559878133</v>
      </c>
      <c r="CY52" s="1">
        <f t="shared" si="38"/>
        <v>917793.08472493396</v>
      </c>
      <c r="CZ52" s="2">
        <v>1</v>
      </c>
      <c r="DA52" s="2">
        <f t="shared" si="39"/>
        <v>1430.3799999999999</v>
      </c>
      <c r="DB52" s="2">
        <f t="shared" si="40"/>
        <v>1377.6538461538503</v>
      </c>
      <c r="DC52" s="2">
        <f t="shared" si="41"/>
        <v>402.21999999999997</v>
      </c>
      <c r="DD52" s="2">
        <f t="shared" si="42"/>
        <v>359.38</v>
      </c>
      <c r="DE52" s="2">
        <f t="shared" si="43"/>
        <v>1047.2</v>
      </c>
      <c r="DF52" s="2">
        <f t="shared" si="44"/>
        <v>3105.9</v>
      </c>
      <c r="DG52" s="1">
        <f t="shared" si="45"/>
        <v>7722.7338461538511</v>
      </c>
      <c r="DH52" s="1">
        <f t="shared" si="46"/>
        <v>262961.66416894604</v>
      </c>
      <c r="DI52" s="9">
        <v>1</v>
      </c>
      <c r="DJ52" s="23">
        <v>5.36</v>
      </c>
      <c r="DK52" s="24">
        <v>0.84</v>
      </c>
      <c r="DL52" s="24">
        <v>0.15</v>
      </c>
      <c r="DM52" s="24">
        <v>0.45</v>
      </c>
      <c r="DN52" s="24">
        <v>0</v>
      </c>
      <c r="DO52" s="25">
        <v>6.8</v>
      </c>
      <c r="DP52" s="9">
        <v>7150</v>
      </c>
      <c r="DQ52" s="9">
        <v>11165</v>
      </c>
      <c r="DR52" s="9">
        <v>0</v>
      </c>
      <c r="DS52" s="9" t="str">
        <f t="shared" si="47"/>
        <v>6590530</v>
      </c>
      <c r="DT52" s="9">
        <f t="shared" si="48"/>
        <v>30853.662919999999</v>
      </c>
      <c r="DU52" s="26"/>
      <c r="DV52" s="9"/>
      <c r="DW52" s="9"/>
      <c r="DX52" s="9">
        <v>914327.43416894611</v>
      </c>
      <c r="DY52" s="9">
        <v>262961.66416894604</v>
      </c>
      <c r="DZ52" s="9">
        <v>917793.08472493384</v>
      </c>
      <c r="EA52" s="9">
        <v>917793.08472493384</v>
      </c>
      <c r="EB52" s="9">
        <v>7722.7338461538511</v>
      </c>
      <c r="EC52" s="9">
        <v>910070.35087878001</v>
      </c>
      <c r="ED52" s="9">
        <v>5.36</v>
      </c>
      <c r="EE52" s="9">
        <v>0.84</v>
      </c>
      <c r="EF52" s="9">
        <v>0.15</v>
      </c>
      <c r="EG52" s="9">
        <v>0.45</v>
      </c>
      <c r="EH52" s="9">
        <v>0</v>
      </c>
      <c r="EI52" s="9">
        <v>6.8</v>
      </c>
      <c r="EJ52" s="9">
        <v>0</v>
      </c>
      <c r="EK52" s="9">
        <v>30853.662919999999</v>
      </c>
      <c r="EL52" s="9">
        <v>11165</v>
      </c>
      <c r="EM52" s="9">
        <v>7150</v>
      </c>
      <c r="EN52" s="9">
        <v>949986.54065417021</v>
      </c>
      <c r="EO52" s="9">
        <v>951320.61720366939</v>
      </c>
      <c r="EP52" s="9">
        <f t="shared" si="63"/>
        <v>0</v>
      </c>
      <c r="EQ52" s="9">
        <f t="shared" si="49"/>
        <v>0</v>
      </c>
      <c r="ER52" s="9">
        <f t="shared" si="50"/>
        <v>0</v>
      </c>
      <c r="ES52" s="9">
        <f t="shared" si="51"/>
        <v>0</v>
      </c>
      <c r="ET52" s="9">
        <f t="shared" si="52"/>
        <v>0</v>
      </c>
      <c r="EU52" s="9">
        <f t="shared" si="53"/>
        <v>0</v>
      </c>
      <c r="EV52" s="9">
        <f t="shared" ref="EV52:FA52" si="284">ROUND(ED52-DJ52,0)</f>
        <v>0</v>
      </c>
      <c r="EW52" s="9">
        <f t="shared" si="284"/>
        <v>0</v>
      </c>
      <c r="EX52" s="9">
        <f t="shared" si="284"/>
        <v>0</v>
      </c>
      <c r="EY52" s="9">
        <f t="shared" si="284"/>
        <v>0</v>
      </c>
      <c r="EZ52" s="9">
        <f t="shared" si="284"/>
        <v>0</v>
      </c>
      <c r="FA52" s="9">
        <f t="shared" si="284"/>
        <v>0</v>
      </c>
      <c r="FB52" s="9">
        <f t="shared" si="55"/>
        <v>0</v>
      </c>
      <c r="FC52" s="9">
        <f t="shared" si="56"/>
        <v>0</v>
      </c>
      <c r="FD52" s="9">
        <f t="shared" si="57"/>
        <v>0</v>
      </c>
      <c r="FE52" s="9">
        <f t="shared" si="58"/>
        <v>0</v>
      </c>
      <c r="FF52" s="9"/>
      <c r="FG52" s="9"/>
      <c r="FH52" s="9"/>
      <c r="FI52" s="27"/>
      <c r="FJ52" s="21">
        <v>2730</v>
      </c>
      <c r="FK52" s="28">
        <v>2730</v>
      </c>
      <c r="FL52" s="28">
        <v>1980</v>
      </c>
      <c r="FM52" s="29">
        <v>2280</v>
      </c>
      <c r="FN52" s="28">
        <v>0</v>
      </c>
      <c r="FO52" s="9"/>
    </row>
    <row r="53" spans="1:171">
      <c r="A53" s="2" t="s">
        <v>270</v>
      </c>
      <c r="B53" s="2">
        <v>100271</v>
      </c>
      <c r="C53" s="2">
        <v>2043618</v>
      </c>
      <c r="D53" s="2" t="s">
        <v>271</v>
      </c>
      <c r="E53" s="2">
        <v>132</v>
      </c>
      <c r="F53" s="2">
        <v>132</v>
      </c>
      <c r="G53" s="2">
        <v>13</v>
      </c>
      <c r="H53" s="2">
        <v>119</v>
      </c>
      <c r="I53" s="2">
        <v>0</v>
      </c>
      <c r="J53" s="2">
        <v>0</v>
      </c>
      <c r="K53" s="2">
        <v>0</v>
      </c>
      <c r="L53" s="2">
        <v>0</v>
      </c>
      <c r="M53" s="1">
        <f t="shared" si="5"/>
        <v>609444</v>
      </c>
      <c r="N53" s="2">
        <v>0.52272727272727304</v>
      </c>
      <c r="O53" s="2">
        <v>0</v>
      </c>
      <c r="P53" s="2">
        <f t="shared" si="6"/>
        <v>69.000000000000043</v>
      </c>
      <c r="Q53" s="2">
        <f t="shared" si="7"/>
        <v>0</v>
      </c>
      <c r="R53" s="1">
        <f t="shared" si="8"/>
        <v>39376.92000000002</v>
      </c>
      <c r="S53" s="2">
        <v>0.53787878787878796</v>
      </c>
      <c r="T53" s="2">
        <v>0</v>
      </c>
      <c r="U53" s="2">
        <f t="shared" si="9"/>
        <v>71.000000000000014</v>
      </c>
      <c r="V53" s="2">
        <f t="shared" si="10"/>
        <v>0</v>
      </c>
      <c r="W53" s="1">
        <f t="shared" si="11"/>
        <v>59511.490000000013</v>
      </c>
      <c r="X53" s="2">
        <v>0.18181818181818199</v>
      </c>
      <c r="Y53" s="2">
        <v>0.28787878787878801</v>
      </c>
      <c r="Z53" s="2">
        <v>9.0909090909090898E-2</v>
      </c>
      <c r="AA53" s="2">
        <v>5.3030303030302997E-2</v>
      </c>
      <c r="AB53" s="2">
        <v>0.10606060606060599</v>
      </c>
      <c r="AC53" s="2">
        <v>3.7878787878787901E-2</v>
      </c>
      <c r="AD53" s="2">
        <f t="shared" ref="AD53:AI53" si="285">$F53*X53</f>
        <v>24.000000000000021</v>
      </c>
      <c r="AE53" s="2">
        <f t="shared" si="285"/>
        <v>38.000000000000014</v>
      </c>
      <c r="AF53" s="2">
        <f t="shared" si="285"/>
        <v>11.999999999999998</v>
      </c>
      <c r="AG53" s="2">
        <f t="shared" si="285"/>
        <v>6.9999999999999956</v>
      </c>
      <c r="AH53" s="2">
        <f t="shared" si="285"/>
        <v>13.999999999999991</v>
      </c>
      <c r="AI53" s="2">
        <f t="shared" si="285"/>
        <v>5.0000000000000027</v>
      </c>
      <c r="AJ53" s="1">
        <f t="shared" ref="AJ53:AO53" si="286">AD53*AJ$3</f>
        <v>6562.8000000000056</v>
      </c>
      <c r="AK53" s="1">
        <f t="shared" si="286"/>
        <v>12650.200000000004</v>
      </c>
      <c r="AL53" s="1">
        <f t="shared" si="286"/>
        <v>6277.4399999999987</v>
      </c>
      <c r="AM53" s="1">
        <f t="shared" si="286"/>
        <v>3994.759999999997</v>
      </c>
      <c r="AN53" s="1">
        <f t="shared" si="286"/>
        <v>8488.8999999999942</v>
      </c>
      <c r="AO53" s="1">
        <f t="shared" si="286"/>
        <v>3982.9000000000024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f t="shared" ref="AV53:BA53" si="287">$I53*AP53</f>
        <v>0</v>
      </c>
      <c r="AW53" s="2">
        <f t="shared" si="287"/>
        <v>0</v>
      </c>
      <c r="AX53" s="2">
        <f t="shared" si="287"/>
        <v>0</v>
      </c>
      <c r="AY53" s="2">
        <f t="shared" si="287"/>
        <v>0</v>
      </c>
      <c r="AZ53" s="2">
        <f t="shared" si="287"/>
        <v>0</v>
      </c>
      <c r="BA53" s="2">
        <f t="shared" si="287"/>
        <v>0</v>
      </c>
      <c r="BB53" s="1">
        <f t="shared" ref="BB53:BG53" si="288">AV53*BB$4</f>
        <v>0</v>
      </c>
      <c r="BC53" s="1">
        <f t="shared" si="288"/>
        <v>0</v>
      </c>
      <c r="BD53" s="1">
        <f t="shared" si="288"/>
        <v>0</v>
      </c>
      <c r="BE53" s="1">
        <f t="shared" si="288"/>
        <v>0</v>
      </c>
      <c r="BF53" s="1">
        <f t="shared" si="288"/>
        <v>0</v>
      </c>
      <c r="BG53" s="1">
        <f t="shared" si="288"/>
        <v>0</v>
      </c>
      <c r="BH53" s="1">
        <f t="shared" si="16"/>
        <v>41957.000000000007</v>
      </c>
      <c r="BI53" s="2">
        <v>0.151260504201681</v>
      </c>
      <c r="BJ53" s="2">
        <v>0</v>
      </c>
      <c r="BK53" s="2">
        <f t="shared" si="17"/>
        <v>19.966386554621891</v>
      </c>
      <c r="BL53" s="2">
        <f t="shared" si="18"/>
        <v>0</v>
      </c>
      <c r="BM53" s="1">
        <f t="shared" si="19"/>
        <v>13768.221176470619</v>
      </c>
      <c r="BN53" s="2">
        <v>0.26059322033898308</v>
      </c>
      <c r="BO53" s="2">
        <f t="shared" si="20"/>
        <v>34.398305084745765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f t="shared" si="21"/>
        <v>0</v>
      </c>
      <c r="CA53" s="2">
        <f t="shared" si="22"/>
        <v>0</v>
      </c>
      <c r="CB53" s="1">
        <f t="shared" si="23"/>
        <v>47235.752542372888</v>
      </c>
      <c r="CC53" s="2">
        <v>4.5454545454545497E-2</v>
      </c>
      <c r="CD53" s="2">
        <v>0</v>
      </c>
      <c r="CE53" s="2">
        <f t="shared" si="24"/>
        <v>0</v>
      </c>
      <c r="CF53" s="2">
        <f t="shared" si="25"/>
        <v>0</v>
      </c>
      <c r="CG53" s="1">
        <f t="shared" si="26"/>
        <v>0</v>
      </c>
      <c r="CH53" s="2">
        <v>152181.76000000001</v>
      </c>
      <c r="CI53" s="2">
        <v>3160</v>
      </c>
      <c r="CJ53" s="1">
        <f t="shared" si="27"/>
        <v>581460</v>
      </c>
      <c r="CK53" s="2">
        <f t="shared" si="28"/>
        <v>0</v>
      </c>
      <c r="CL53" s="2">
        <v>1098689.8001999999</v>
      </c>
      <c r="CM53" s="22">
        <v>30252.423699999999</v>
      </c>
      <c r="CN53" s="22">
        <v>3160</v>
      </c>
      <c r="CO53" s="2">
        <f t="shared" si="29"/>
        <v>152181.76000000001</v>
      </c>
      <c r="CP53" s="2">
        <f t="shared" si="30"/>
        <v>973600.46389999986</v>
      </c>
      <c r="CQ53" s="2">
        <v>154</v>
      </c>
      <c r="CR53" s="2">
        <f t="shared" si="31"/>
        <v>6322.0809344155832</v>
      </c>
      <c r="CS53" s="2">
        <f t="shared" si="32"/>
        <v>6332.8284720040901</v>
      </c>
      <c r="CT53" s="2">
        <f t="shared" si="33"/>
        <v>835933.35830453993</v>
      </c>
      <c r="CU53" s="2">
        <f t="shared" si="34"/>
        <v>3160</v>
      </c>
      <c r="CV53" s="2">
        <f t="shared" si="35"/>
        <v>152181.76000000001</v>
      </c>
      <c r="CW53" s="2">
        <f t="shared" si="36"/>
        <v>991275.11830453994</v>
      </c>
      <c r="CX53" s="1">
        <f t="shared" si="37"/>
        <v>24639.974585696385</v>
      </c>
      <c r="CY53" s="1">
        <f t="shared" si="38"/>
        <v>991275.11830453994</v>
      </c>
      <c r="CZ53" s="2">
        <v>1</v>
      </c>
      <c r="DA53" s="2">
        <f t="shared" si="39"/>
        <v>1586.6399999999999</v>
      </c>
      <c r="DB53" s="2">
        <f t="shared" si="40"/>
        <v>1717.1092436974827</v>
      </c>
      <c r="DC53" s="2">
        <f t="shared" si="41"/>
        <v>446.15999999999997</v>
      </c>
      <c r="DD53" s="2">
        <f t="shared" si="42"/>
        <v>398.64</v>
      </c>
      <c r="DE53" s="2">
        <f t="shared" si="43"/>
        <v>1161.6000000000001</v>
      </c>
      <c r="DF53" s="2">
        <f t="shared" si="44"/>
        <v>3445.2000000000003</v>
      </c>
      <c r="DG53" s="1">
        <f t="shared" si="45"/>
        <v>8755.349243697483</v>
      </c>
      <c r="DH53" s="1">
        <f t="shared" si="46"/>
        <v>266077.94371884357</v>
      </c>
      <c r="DI53" s="9">
        <v>1</v>
      </c>
      <c r="DJ53" s="23">
        <v>5.36</v>
      </c>
      <c r="DK53" s="24">
        <v>0.49</v>
      </c>
      <c r="DL53" s="24">
        <v>0.11</v>
      </c>
      <c r="DM53" s="24">
        <v>0.45</v>
      </c>
      <c r="DN53" s="24">
        <v>0</v>
      </c>
      <c r="DO53" s="25">
        <v>6.41</v>
      </c>
      <c r="DP53" s="9">
        <v>7233</v>
      </c>
      <c r="DQ53" s="9">
        <v>11600</v>
      </c>
      <c r="DR53" s="9">
        <v>0</v>
      </c>
      <c r="DS53" s="9" t="str">
        <f t="shared" si="47"/>
        <v>5835029</v>
      </c>
      <c r="DT53" s="9">
        <f t="shared" si="48"/>
        <v>32816.569839999996</v>
      </c>
      <c r="DU53" s="26"/>
      <c r="DV53" s="9"/>
      <c r="DW53" s="9"/>
      <c r="DX53" s="9">
        <v>966635.14371884358</v>
      </c>
      <c r="DY53" s="9">
        <v>266077.94371884357</v>
      </c>
      <c r="DZ53" s="9">
        <v>991275.11830453994</v>
      </c>
      <c r="EA53" s="9">
        <v>991275.11830453994</v>
      </c>
      <c r="EB53" s="9">
        <v>8755.349243697483</v>
      </c>
      <c r="EC53" s="9">
        <v>982519.76906084246</v>
      </c>
      <c r="ED53" s="9">
        <v>5.36</v>
      </c>
      <c r="EE53" s="9">
        <v>0.49</v>
      </c>
      <c r="EF53" s="9">
        <v>0.11</v>
      </c>
      <c r="EG53" s="9">
        <v>0.45</v>
      </c>
      <c r="EH53" s="9">
        <v>0</v>
      </c>
      <c r="EI53" s="9">
        <v>6.41</v>
      </c>
      <c r="EJ53" s="9">
        <v>0</v>
      </c>
      <c r="EK53" s="9">
        <v>32816.569839999996</v>
      </c>
      <c r="EL53" s="9">
        <v>11600</v>
      </c>
      <c r="EM53" s="9">
        <v>7233</v>
      </c>
      <c r="EN53" s="9">
        <v>1025560.8017526257</v>
      </c>
      <c r="EO53" s="9">
        <v>1027024.4187459925</v>
      </c>
      <c r="EP53" s="9">
        <f t="shared" si="63"/>
        <v>0</v>
      </c>
      <c r="EQ53" s="9">
        <f t="shared" si="49"/>
        <v>0</v>
      </c>
      <c r="ER53" s="9">
        <f t="shared" si="50"/>
        <v>0</v>
      </c>
      <c r="ES53" s="9">
        <f t="shared" si="51"/>
        <v>0</v>
      </c>
      <c r="ET53" s="9">
        <f t="shared" si="52"/>
        <v>0</v>
      </c>
      <c r="EU53" s="9">
        <f t="shared" si="53"/>
        <v>0</v>
      </c>
      <c r="EV53" s="9">
        <f t="shared" ref="EV53:FA53" si="289">ROUND(ED53-DJ53,0)</f>
        <v>0</v>
      </c>
      <c r="EW53" s="9">
        <f t="shared" si="289"/>
        <v>0</v>
      </c>
      <c r="EX53" s="9">
        <f t="shared" si="289"/>
        <v>0</v>
      </c>
      <c r="EY53" s="9">
        <f t="shared" si="289"/>
        <v>0</v>
      </c>
      <c r="EZ53" s="9">
        <f t="shared" si="289"/>
        <v>0</v>
      </c>
      <c r="FA53" s="9">
        <f t="shared" si="289"/>
        <v>0</v>
      </c>
      <c r="FB53" s="9">
        <f t="shared" si="55"/>
        <v>0</v>
      </c>
      <c r="FC53" s="9">
        <f t="shared" si="56"/>
        <v>0</v>
      </c>
      <c r="FD53" s="9">
        <f t="shared" si="57"/>
        <v>0</v>
      </c>
      <c r="FE53" s="9">
        <f t="shared" si="58"/>
        <v>0</v>
      </c>
      <c r="FF53" s="9"/>
      <c r="FG53" s="9"/>
      <c r="FH53" s="9"/>
      <c r="FI53" s="27"/>
      <c r="FJ53" s="21">
        <v>3315</v>
      </c>
      <c r="FK53" s="28">
        <v>2340</v>
      </c>
      <c r="FL53" s="28">
        <v>1620</v>
      </c>
      <c r="FM53" s="29">
        <v>1140</v>
      </c>
      <c r="FN53" s="28">
        <v>0</v>
      </c>
      <c r="FO53" s="9"/>
    </row>
    <row r="54" spans="1:171">
      <c r="A54" s="2" t="s">
        <v>272</v>
      </c>
      <c r="B54" s="2">
        <v>100274</v>
      </c>
      <c r="C54" s="2">
        <v>2043659</v>
      </c>
      <c r="D54" s="2" t="s">
        <v>273</v>
      </c>
      <c r="E54" s="2">
        <v>179</v>
      </c>
      <c r="F54" s="2">
        <v>179</v>
      </c>
      <c r="G54" s="2">
        <v>21</v>
      </c>
      <c r="H54" s="2">
        <v>158</v>
      </c>
      <c r="I54" s="2">
        <v>0</v>
      </c>
      <c r="J54" s="2">
        <v>0</v>
      </c>
      <c r="K54" s="2">
        <v>0</v>
      </c>
      <c r="L54" s="2">
        <v>1</v>
      </c>
      <c r="M54" s="1">
        <f t="shared" si="5"/>
        <v>826443</v>
      </c>
      <c r="N54" s="2">
        <v>0.70949720670391103</v>
      </c>
      <c r="O54" s="2">
        <v>0</v>
      </c>
      <c r="P54" s="2">
        <f t="shared" si="6"/>
        <v>127.00000000000007</v>
      </c>
      <c r="Q54" s="2">
        <f t="shared" si="7"/>
        <v>0</v>
      </c>
      <c r="R54" s="1">
        <f t="shared" si="8"/>
        <v>72476.36000000003</v>
      </c>
      <c r="S54" s="2">
        <v>0.70949720670391103</v>
      </c>
      <c r="T54" s="2">
        <v>0</v>
      </c>
      <c r="U54" s="2">
        <f t="shared" si="9"/>
        <v>127.00000000000007</v>
      </c>
      <c r="V54" s="2">
        <f t="shared" si="10"/>
        <v>0</v>
      </c>
      <c r="W54" s="1">
        <f t="shared" si="11"/>
        <v>106450.13000000006</v>
      </c>
      <c r="X54" s="2">
        <v>0.15642458100558701</v>
      </c>
      <c r="Y54" s="2">
        <v>0.30726256983240202</v>
      </c>
      <c r="Z54" s="2">
        <v>9.4972067039106101E-2</v>
      </c>
      <c r="AA54" s="2">
        <v>0.240223463687151</v>
      </c>
      <c r="AB54" s="2">
        <v>0.14525139664804501</v>
      </c>
      <c r="AC54" s="2">
        <v>1.67597765363128E-2</v>
      </c>
      <c r="AD54" s="2">
        <f t="shared" ref="AD54:AI54" si="290">$F54*X54</f>
        <v>28.000000000000075</v>
      </c>
      <c r="AE54" s="2">
        <f t="shared" si="290"/>
        <v>54.999999999999964</v>
      </c>
      <c r="AF54" s="2">
        <f t="shared" si="290"/>
        <v>16.999999999999993</v>
      </c>
      <c r="AG54" s="2">
        <f t="shared" si="290"/>
        <v>43.000000000000028</v>
      </c>
      <c r="AH54" s="2">
        <f t="shared" si="290"/>
        <v>26.000000000000057</v>
      </c>
      <c r="AI54" s="2">
        <f t="shared" si="290"/>
        <v>2.9999999999999911</v>
      </c>
      <c r="AJ54" s="1">
        <f t="shared" ref="AJ54:AO54" si="291">AD54*AJ$3</f>
        <v>7656.6000000000204</v>
      </c>
      <c r="AK54" s="1">
        <f t="shared" si="291"/>
        <v>18309.499999999985</v>
      </c>
      <c r="AL54" s="1">
        <f t="shared" si="291"/>
        <v>8893.0399999999972</v>
      </c>
      <c r="AM54" s="1">
        <f t="shared" si="291"/>
        <v>24539.240000000013</v>
      </c>
      <c r="AN54" s="1">
        <f t="shared" si="291"/>
        <v>15765.100000000035</v>
      </c>
      <c r="AO54" s="1">
        <f t="shared" si="291"/>
        <v>2389.739999999993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f t="shared" ref="AV54:BA54" si="292">$I54*AP54</f>
        <v>0</v>
      </c>
      <c r="AW54" s="2">
        <f t="shared" si="292"/>
        <v>0</v>
      </c>
      <c r="AX54" s="2">
        <f t="shared" si="292"/>
        <v>0</v>
      </c>
      <c r="AY54" s="2">
        <f t="shared" si="292"/>
        <v>0</v>
      </c>
      <c r="AZ54" s="2">
        <f t="shared" si="292"/>
        <v>0</v>
      </c>
      <c r="BA54" s="2">
        <f t="shared" si="292"/>
        <v>0</v>
      </c>
      <c r="BB54" s="1">
        <f t="shared" ref="BB54:BG54" si="293">AV54*BB$4</f>
        <v>0</v>
      </c>
      <c r="BC54" s="1">
        <f t="shared" si="293"/>
        <v>0</v>
      </c>
      <c r="BD54" s="1">
        <f t="shared" si="293"/>
        <v>0</v>
      </c>
      <c r="BE54" s="1">
        <f t="shared" si="293"/>
        <v>0</v>
      </c>
      <c r="BF54" s="1">
        <f t="shared" si="293"/>
        <v>0</v>
      </c>
      <c r="BG54" s="1">
        <f t="shared" si="293"/>
        <v>0</v>
      </c>
      <c r="BH54" s="1">
        <f t="shared" si="16"/>
        <v>77553.22000000003</v>
      </c>
      <c r="BI54" s="2">
        <v>0.36305732484076397</v>
      </c>
      <c r="BJ54" s="2">
        <v>0</v>
      </c>
      <c r="BK54" s="2">
        <f t="shared" si="17"/>
        <v>64.987261146496749</v>
      </c>
      <c r="BL54" s="2">
        <f t="shared" si="18"/>
        <v>0</v>
      </c>
      <c r="BM54" s="1">
        <f t="shared" si="19"/>
        <v>44813.265668789769</v>
      </c>
      <c r="BN54" s="2">
        <v>0.46644295302013422</v>
      </c>
      <c r="BO54" s="2">
        <f t="shared" si="20"/>
        <v>83.493288590604024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f t="shared" si="21"/>
        <v>0</v>
      </c>
      <c r="CA54" s="2">
        <f t="shared" si="22"/>
        <v>0</v>
      </c>
      <c r="CB54" s="1">
        <f t="shared" si="23"/>
        <v>114652.98389261746</v>
      </c>
      <c r="CC54" s="2">
        <v>8.3798882681564199E-2</v>
      </c>
      <c r="CD54" s="2">
        <v>0</v>
      </c>
      <c r="CE54" s="2">
        <f t="shared" si="24"/>
        <v>4.2599999999999918</v>
      </c>
      <c r="CF54" s="2">
        <f t="shared" si="25"/>
        <v>0</v>
      </c>
      <c r="CG54" s="1">
        <f t="shared" si="26"/>
        <v>4786.2377999999908</v>
      </c>
      <c r="CH54" s="2">
        <v>152181.76000000001</v>
      </c>
      <c r="CI54" s="2">
        <v>5745</v>
      </c>
      <c r="CJ54" s="1">
        <f t="shared" si="27"/>
        <v>788495</v>
      </c>
      <c r="CK54" s="2">
        <f t="shared" si="28"/>
        <v>0</v>
      </c>
      <c r="CL54" s="2">
        <v>1309911.2953000001</v>
      </c>
      <c r="CM54" s="22">
        <v>36297.451800000003</v>
      </c>
      <c r="CN54" s="22">
        <v>5745</v>
      </c>
      <c r="CO54" s="2">
        <f t="shared" si="29"/>
        <v>152181.76000000001</v>
      </c>
      <c r="CP54" s="2">
        <f t="shared" si="30"/>
        <v>1188281.9871</v>
      </c>
      <c r="CQ54" s="2">
        <v>182</v>
      </c>
      <c r="CR54" s="2">
        <f t="shared" si="31"/>
        <v>6529.0219071428573</v>
      </c>
      <c r="CS54" s="2">
        <f t="shared" si="32"/>
        <v>6540.1212443850009</v>
      </c>
      <c r="CT54" s="2">
        <f t="shared" si="33"/>
        <v>1170681.7027449152</v>
      </c>
      <c r="CU54" s="2">
        <f t="shared" si="34"/>
        <v>5745</v>
      </c>
      <c r="CV54" s="2">
        <f t="shared" si="35"/>
        <v>152181.76000000001</v>
      </c>
      <c r="CW54" s="2">
        <f t="shared" si="36"/>
        <v>1328608.4627449152</v>
      </c>
      <c r="CX54" s="1">
        <f t="shared" si="37"/>
        <v>0</v>
      </c>
      <c r="CY54" s="1">
        <f t="shared" si="38"/>
        <v>1405101.9573614073</v>
      </c>
      <c r="CZ54" s="2">
        <v>1</v>
      </c>
      <c r="DA54" s="2">
        <f t="shared" si="39"/>
        <v>2151.58</v>
      </c>
      <c r="DB54" s="2">
        <f t="shared" si="40"/>
        <v>5588.9044585987203</v>
      </c>
      <c r="DC54" s="2">
        <f t="shared" si="41"/>
        <v>605.02</v>
      </c>
      <c r="DD54" s="2">
        <f t="shared" si="42"/>
        <v>540.58000000000004</v>
      </c>
      <c r="DE54" s="2">
        <f t="shared" si="43"/>
        <v>1575.2</v>
      </c>
      <c r="DF54" s="2">
        <f t="shared" si="44"/>
        <v>4671.9000000000005</v>
      </c>
      <c r="DG54" s="1">
        <f t="shared" si="45"/>
        <v>15133.18445859872</v>
      </c>
      <c r="DH54" s="1">
        <f t="shared" si="46"/>
        <v>488751.14736140735</v>
      </c>
      <c r="DI54" s="9">
        <v>1</v>
      </c>
      <c r="DJ54" s="23">
        <v>5.36</v>
      </c>
      <c r="DK54" s="24">
        <v>0.78</v>
      </c>
      <c r="DL54" s="24">
        <v>0.14000000000000001</v>
      </c>
      <c r="DM54" s="24">
        <v>0.45</v>
      </c>
      <c r="DN54" s="24">
        <v>0</v>
      </c>
      <c r="DO54" s="25">
        <v>6.73</v>
      </c>
      <c r="DP54" s="9">
        <v>7321</v>
      </c>
      <c r="DQ54" s="9">
        <v>16530</v>
      </c>
      <c r="DR54" s="9">
        <v>0</v>
      </c>
      <c r="DS54" s="9" t="str">
        <f t="shared" si="47"/>
        <v>8399795</v>
      </c>
      <c r="DT54" s="9">
        <f t="shared" si="48"/>
        <v>46390.469480000007</v>
      </c>
      <c r="DU54" s="26"/>
      <c r="DV54" s="9"/>
      <c r="DW54" s="9"/>
      <c r="DX54" s="9">
        <v>1405101.9573614076</v>
      </c>
      <c r="DY54" s="9">
        <v>488751.14736140735</v>
      </c>
      <c r="DZ54" s="9">
        <v>1328608.4627449152</v>
      </c>
      <c r="EA54" s="9">
        <v>1405101.9573614076</v>
      </c>
      <c r="EB54" s="9">
        <v>15133.18445859872</v>
      </c>
      <c r="EC54" s="9">
        <v>1389968.7729028089</v>
      </c>
      <c r="ED54" s="9">
        <v>5.36</v>
      </c>
      <c r="EE54" s="9">
        <v>0.78</v>
      </c>
      <c r="EF54" s="9">
        <v>0.14000000000000001</v>
      </c>
      <c r="EG54" s="9">
        <v>0.45</v>
      </c>
      <c r="EH54" s="9">
        <v>0</v>
      </c>
      <c r="EI54" s="9">
        <v>6.73</v>
      </c>
      <c r="EJ54" s="9">
        <v>0</v>
      </c>
      <c r="EK54" s="9">
        <v>46390.469480000007</v>
      </c>
      <c r="EL54" s="9">
        <v>16530</v>
      </c>
      <c r="EM54" s="9">
        <v>7321</v>
      </c>
      <c r="EN54" s="9">
        <v>1453683.7272052779</v>
      </c>
      <c r="EO54" s="9">
        <v>1455870.758671914</v>
      </c>
      <c r="EP54" s="9">
        <f t="shared" si="63"/>
        <v>0</v>
      </c>
      <c r="EQ54" s="9">
        <f t="shared" si="49"/>
        <v>0</v>
      </c>
      <c r="ER54" s="9">
        <f t="shared" si="50"/>
        <v>0</v>
      </c>
      <c r="ES54" s="9">
        <f t="shared" si="51"/>
        <v>0</v>
      </c>
      <c r="ET54" s="9">
        <f t="shared" si="52"/>
        <v>0</v>
      </c>
      <c r="EU54" s="9">
        <f t="shared" si="53"/>
        <v>0</v>
      </c>
      <c r="EV54" s="9">
        <f t="shared" ref="EV54:FA54" si="294">ROUND(ED54-DJ54,0)</f>
        <v>0</v>
      </c>
      <c r="EW54" s="9">
        <f t="shared" si="294"/>
        <v>0</v>
      </c>
      <c r="EX54" s="9">
        <f t="shared" si="294"/>
        <v>0</v>
      </c>
      <c r="EY54" s="9">
        <f t="shared" si="294"/>
        <v>0</v>
      </c>
      <c r="EZ54" s="9">
        <f t="shared" si="294"/>
        <v>0</v>
      </c>
      <c r="FA54" s="9">
        <f t="shared" si="294"/>
        <v>0</v>
      </c>
      <c r="FB54" s="9">
        <f t="shared" si="55"/>
        <v>0</v>
      </c>
      <c r="FC54" s="9">
        <f t="shared" si="56"/>
        <v>0</v>
      </c>
      <c r="FD54" s="9">
        <f t="shared" si="57"/>
        <v>0</v>
      </c>
      <c r="FE54" s="9">
        <f t="shared" si="58"/>
        <v>0</v>
      </c>
      <c r="FF54" s="9"/>
      <c r="FG54" s="9"/>
      <c r="FH54" s="9"/>
      <c r="FI54" s="27"/>
      <c r="FJ54" s="21">
        <v>6630</v>
      </c>
      <c r="FK54" s="28">
        <v>4875</v>
      </c>
      <c r="FL54" s="28">
        <v>6480</v>
      </c>
      <c r="FM54" s="29">
        <v>8550</v>
      </c>
      <c r="FN54" s="28">
        <v>0</v>
      </c>
      <c r="FO54" s="9"/>
    </row>
    <row r="55" spans="1:171">
      <c r="A55" s="2" t="s">
        <v>274</v>
      </c>
      <c r="B55" s="2">
        <v>100275</v>
      </c>
      <c r="C55" s="2">
        <v>2043663</v>
      </c>
      <c r="D55" s="2" t="s">
        <v>275</v>
      </c>
      <c r="E55" s="2">
        <v>103</v>
      </c>
      <c r="F55" s="2">
        <v>103</v>
      </c>
      <c r="G55" s="2">
        <v>13</v>
      </c>
      <c r="H55" s="2">
        <v>90</v>
      </c>
      <c r="I55" s="2">
        <v>0</v>
      </c>
      <c r="J55" s="2">
        <v>0</v>
      </c>
      <c r="K55" s="2">
        <v>0</v>
      </c>
      <c r="L55" s="2">
        <v>0</v>
      </c>
      <c r="M55" s="1">
        <f t="shared" si="5"/>
        <v>475551</v>
      </c>
      <c r="N55" s="2">
        <v>0.242718446601942</v>
      </c>
      <c r="O55" s="2">
        <v>0</v>
      </c>
      <c r="P55" s="2">
        <f t="shared" si="6"/>
        <v>25.000000000000025</v>
      </c>
      <c r="Q55" s="2">
        <f t="shared" si="7"/>
        <v>0</v>
      </c>
      <c r="R55" s="1">
        <f t="shared" si="8"/>
        <v>14267.000000000013</v>
      </c>
      <c r="S55" s="2">
        <v>0.26213592233009703</v>
      </c>
      <c r="T55" s="2">
        <v>0</v>
      </c>
      <c r="U55" s="2">
        <f t="shared" si="9"/>
        <v>26.999999999999993</v>
      </c>
      <c r="V55" s="2">
        <f t="shared" si="10"/>
        <v>0</v>
      </c>
      <c r="W55" s="1">
        <f t="shared" si="11"/>
        <v>22631.129999999994</v>
      </c>
      <c r="X55" s="2">
        <v>0.106796116504854</v>
      </c>
      <c r="Y55" s="2">
        <v>0.19417475728155301</v>
      </c>
      <c r="Z55" s="2">
        <v>8.7378640776699004E-2</v>
      </c>
      <c r="AA55" s="2">
        <v>0.116504854368932</v>
      </c>
      <c r="AB55" s="2">
        <v>0.13592233009708701</v>
      </c>
      <c r="AC55" s="2">
        <v>2.9126213592233E-2</v>
      </c>
      <c r="AD55" s="2">
        <f t="shared" ref="AD55:AI55" si="295">$F55*X55</f>
        <v>10.999999999999963</v>
      </c>
      <c r="AE55" s="2">
        <f t="shared" si="295"/>
        <v>19.999999999999961</v>
      </c>
      <c r="AF55" s="2">
        <f t="shared" si="295"/>
        <v>8.9999999999999982</v>
      </c>
      <c r="AG55" s="2">
        <f t="shared" si="295"/>
        <v>11.999999999999996</v>
      </c>
      <c r="AH55" s="2">
        <f t="shared" si="295"/>
        <v>13.999999999999963</v>
      </c>
      <c r="AI55" s="2">
        <f t="shared" si="295"/>
        <v>2.9999999999999991</v>
      </c>
      <c r="AJ55" s="1">
        <f t="shared" ref="AJ55:AO55" si="296">AD55*AJ$3</f>
        <v>3007.9499999999898</v>
      </c>
      <c r="AK55" s="1">
        <f t="shared" si="296"/>
        <v>6657.9999999999864</v>
      </c>
      <c r="AL55" s="1">
        <f t="shared" si="296"/>
        <v>4708.079999999999</v>
      </c>
      <c r="AM55" s="1">
        <f t="shared" si="296"/>
        <v>6848.1599999999971</v>
      </c>
      <c r="AN55" s="1">
        <f t="shared" si="296"/>
        <v>8488.8999999999778</v>
      </c>
      <c r="AO55" s="1">
        <f t="shared" si="296"/>
        <v>2389.7399999999993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f t="shared" ref="AV55:BA55" si="297">$I55*AP55</f>
        <v>0</v>
      </c>
      <c r="AW55" s="2">
        <f t="shared" si="297"/>
        <v>0</v>
      </c>
      <c r="AX55" s="2">
        <f t="shared" si="297"/>
        <v>0</v>
      </c>
      <c r="AY55" s="2">
        <f t="shared" si="297"/>
        <v>0</v>
      </c>
      <c r="AZ55" s="2">
        <f t="shared" si="297"/>
        <v>0</v>
      </c>
      <c r="BA55" s="2">
        <f t="shared" si="297"/>
        <v>0</v>
      </c>
      <c r="BB55" s="1">
        <f t="shared" ref="BB55:BG55" si="298">AV55*BB$4</f>
        <v>0</v>
      </c>
      <c r="BC55" s="1">
        <f t="shared" si="298"/>
        <v>0</v>
      </c>
      <c r="BD55" s="1">
        <f t="shared" si="298"/>
        <v>0</v>
      </c>
      <c r="BE55" s="1">
        <f t="shared" si="298"/>
        <v>0</v>
      </c>
      <c r="BF55" s="1">
        <f t="shared" si="298"/>
        <v>0</v>
      </c>
      <c r="BG55" s="1">
        <f t="shared" si="298"/>
        <v>0</v>
      </c>
      <c r="BH55" s="1">
        <f t="shared" si="16"/>
        <v>32100.829999999944</v>
      </c>
      <c r="BI55" s="2">
        <v>0.2</v>
      </c>
      <c r="BJ55" s="2">
        <v>0</v>
      </c>
      <c r="BK55" s="2">
        <f t="shared" si="17"/>
        <v>20.6</v>
      </c>
      <c r="BL55" s="2">
        <f t="shared" si="18"/>
        <v>0</v>
      </c>
      <c r="BM55" s="1">
        <f t="shared" si="19"/>
        <v>14205.142000000002</v>
      </c>
      <c r="BN55" s="2">
        <v>0.31084337349397595</v>
      </c>
      <c r="BO55" s="2">
        <f t="shared" si="20"/>
        <v>32.016867469879521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f t="shared" si="21"/>
        <v>0</v>
      </c>
      <c r="CA55" s="2">
        <f t="shared" si="22"/>
        <v>0</v>
      </c>
      <c r="CB55" s="1">
        <f t="shared" si="23"/>
        <v>43965.562409638558</v>
      </c>
      <c r="CC55" s="2">
        <v>0.12621359223301001</v>
      </c>
      <c r="CD55" s="2">
        <v>0</v>
      </c>
      <c r="CE55" s="2">
        <f t="shared" si="24"/>
        <v>6.8200000000000314</v>
      </c>
      <c r="CF55" s="2">
        <f t="shared" si="25"/>
        <v>0</v>
      </c>
      <c r="CG55" s="1">
        <f t="shared" si="26"/>
        <v>7662.474600000035</v>
      </c>
      <c r="CH55" s="2">
        <v>152181.76000000001</v>
      </c>
      <c r="CI55" s="2">
        <v>5092</v>
      </c>
      <c r="CJ55" s="1">
        <f t="shared" si="27"/>
        <v>453715</v>
      </c>
      <c r="CK55" s="2">
        <f t="shared" si="28"/>
        <v>0</v>
      </c>
      <c r="CL55" s="2">
        <v>758101.69620000001</v>
      </c>
      <c r="CM55" s="22">
        <v>19457.7307</v>
      </c>
      <c r="CN55" s="22">
        <v>5092</v>
      </c>
      <c r="CO55" s="2">
        <f t="shared" si="29"/>
        <v>152181.76000000001</v>
      </c>
      <c r="CP55" s="2">
        <f t="shared" si="30"/>
        <v>620285.66689999995</v>
      </c>
      <c r="CQ55" s="2">
        <v>104</v>
      </c>
      <c r="CR55" s="2">
        <f t="shared" si="31"/>
        <v>5964.2852586538456</v>
      </c>
      <c r="CS55" s="2">
        <f t="shared" si="32"/>
        <v>5974.4245435935572</v>
      </c>
      <c r="CT55" s="2">
        <f t="shared" si="33"/>
        <v>615365.72799013637</v>
      </c>
      <c r="CU55" s="2">
        <f t="shared" si="34"/>
        <v>5092</v>
      </c>
      <c r="CV55" s="2">
        <f t="shared" si="35"/>
        <v>152181.76000000001</v>
      </c>
      <c r="CW55" s="2">
        <f t="shared" si="36"/>
        <v>772639.48799013637</v>
      </c>
      <c r="CX55" s="1">
        <f t="shared" si="37"/>
        <v>4982.5889804978215</v>
      </c>
      <c r="CY55" s="1">
        <f t="shared" si="38"/>
        <v>772639.48799013637</v>
      </c>
      <c r="CZ55" s="2">
        <v>1</v>
      </c>
      <c r="DA55" s="2">
        <f t="shared" si="39"/>
        <v>1238.06</v>
      </c>
      <c r="DB55" s="2">
        <f t="shared" si="40"/>
        <v>1771.6000000000001</v>
      </c>
      <c r="DC55" s="2">
        <f t="shared" si="41"/>
        <v>348.14</v>
      </c>
      <c r="DD55" s="2">
        <f t="shared" si="42"/>
        <v>311.06</v>
      </c>
      <c r="DE55" s="2">
        <f t="shared" si="43"/>
        <v>906.40000000000009</v>
      </c>
      <c r="DF55" s="2">
        <f t="shared" si="44"/>
        <v>2688.3</v>
      </c>
      <c r="DG55" s="1">
        <f t="shared" si="45"/>
        <v>7263.56</v>
      </c>
      <c r="DH55" s="1">
        <f t="shared" si="46"/>
        <v>201408.80900963853</v>
      </c>
      <c r="DI55" s="9">
        <v>1</v>
      </c>
      <c r="DJ55" s="23">
        <v>5.36</v>
      </c>
      <c r="DK55" s="24">
        <v>0</v>
      </c>
      <c r="DL55" s="24">
        <v>0.14000000000000001</v>
      </c>
      <c r="DM55" s="24">
        <v>0.45</v>
      </c>
      <c r="DN55" s="24">
        <v>0</v>
      </c>
      <c r="DO55" s="25">
        <v>5.95</v>
      </c>
      <c r="DP55" s="9">
        <v>7054</v>
      </c>
      <c r="DQ55" s="9">
        <v>4495</v>
      </c>
      <c r="DR55" s="9">
        <v>0</v>
      </c>
      <c r="DS55" s="9" t="str">
        <f t="shared" si="47"/>
        <v>7672164</v>
      </c>
      <c r="DT55" s="9">
        <f t="shared" si="48"/>
        <v>23273.109</v>
      </c>
      <c r="DU55" s="26"/>
      <c r="DV55" s="9"/>
      <c r="DW55" s="9"/>
      <c r="DX55" s="9">
        <v>767656.8990096387</v>
      </c>
      <c r="DY55" s="9">
        <v>201408.80900963853</v>
      </c>
      <c r="DZ55" s="9">
        <v>772639.48799013637</v>
      </c>
      <c r="EA55" s="9">
        <v>772639.48799013637</v>
      </c>
      <c r="EB55" s="9">
        <v>7263.56</v>
      </c>
      <c r="EC55" s="9">
        <v>765375.92799013632</v>
      </c>
      <c r="ED55" s="9">
        <v>5.36</v>
      </c>
      <c r="EE55" s="9">
        <v>0</v>
      </c>
      <c r="EF55" s="9">
        <v>0.14000000000000001</v>
      </c>
      <c r="EG55" s="9">
        <v>0.45</v>
      </c>
      <c r="EH55" s="9">
        <v>0</v>
      </c>
      <c r="EI55" s="9">
        <v>5.95</v>
      </c>
      <c r="EJ55" s="9">
        <v>0</v>
      </c>
      <c r="EK55" s="9">
        <v>23273.109</v>
      </c>
      <c r="EL55" s="9">
        <v>4495</v>
      </c>
      <c r="EM55" s="9">
        <v>7054</v>
      </c>
      <c r="EN55" s="9">
        <v>796990.52174325974</v>
      </c>
      <c r="EO55" s="9">
        <v>798062.2848606105</v>
      </c>
      <c r="EP55" s="9">
        <f t="shared" si="63"/>
        <v>0</v>
      </c>
      <c r="EQ55" s="9">
        <f t="shared" si="49"/>
        <v>0</v>
      </c>
      <c r="ER55" s="9">
        <f t="shared" si="50"/>
        <v>0</v>
      </c>
      <c r="ES55" s="9">
        <f t="shared" si="51"/>
        <v>0</v>
      </c>
      <c r="ET55" s="9">
        <f t="shared" si="52"/>
        <v>0</v>
      </c>
      <c r="EU55" s="9">
        <f t="shared" si="53"/>
        <v>0</v>
      </c>
      <c r="EV55" s="9">
        <f t="shared" ref="EV55:FA55" si="299">ROUND(ED55-DJ55,0)</f>
        <v>0</v>
      </c>
      <c r="EW55" s="9">
        <f t="shared" si="299"/>
        <v>0</v>
      </c>
      <c r="EX55" s="9">
        <f t="shared" si="299"/>
        <v>0</v>
      </c>
      <c r="EY55" s="9">
        <f t="shared" si="299"/>
        <v>0</v>
      </c>
      <c r="EZ55" s="9">
        <f t="shared" si="299"/>
        <v>0</v>
      </c>
      <c r="FA55" s="9">
        <f t="shared" si="299"/>
        <v>0</v>
      </c>
      <c r="FB55" s="9">
        <f t="shared" si="55"/>
        <v>0</v>
      </c>
      <c r="FC55" s="9">
        <f t="shared" si="56"/>
        <v>0</v>
      </c>
      <c r="FD55" s="9">
        <f t="shared" si="57"/>
        <v>0</v>
      </c>
      <c r="FE55" s="9">
        <f t="shared" si="58"/>
        <v>0</v>
      </c>
      <c r="FF55" s="9"/>
      <c r="FG55" s="9"/>
      <c r="FH55" s="9"/>
      <c r="FI55" s="27"/>
      <c r="FJ55" s="21">
        <v>3120</v>
      </c>
      <c r="FK55" s="28">
        <v>2145</v>
      </c>
      <c r="FL55" s="28">
        <v>2880</v>
      </c>
      <c r="FM55" s="29">
        <v>0</v>
      </c>
      <c r="FN55" s="28">
        <v>0</v>
      </c>
      <c r="FO55" s="9"/>
    </row>
    <row r="56" spans="1:171">
      <c r="A56" s="2" t="s">
        <v>276</v>
      </c>
      <c r="B56" s="2">
        <v>121792</v>
      </c>
      <c r="C56" s="2">
        <v>2043666</v>
      </c>
      <c r="D56" s="2" t="s">
        <v>277</v>
      </c>
      <c r="E56" s="2">
        <v>184</v>
      </c>
      <c r="F56" s="2">
        <v>184</v>
      </c>
      <c r="G56" s="2">
        <v>30</v>
      </c>
      <c r="H56" s="2">
        <v>154</v>
      </c>
      <c r="I56" s="2">
        <v>0</v>
      </c>
      <c r="J56" s="2">
        <v>0</v>
      </c>
      <c r="K56" s="2">
        <v>0</v>
      </c>
      <c r="L56" s="2">
        <v>0</v>
      </c>
      <c r="M56" s="1">
        <f t="shared" si="5"/>
        <v>849528</v>
      </c>
      <c r="N56" s="2">
        <v>0.35326086956521702</v>
      </c>
      <c r="O56" s="2">
        <v>0</v>
      </c>
      <c r="P56" s="2">
        <f t="shared" si="6"/>
        <v>64.999999999999929</v>
      </c>
      <c r="Q56" s="2">
        <f t="shared" si="7"/>
        <v>0</v>
      </c>
      <c r="R56" s="1">
        <f t="shared" si="8"/>
        <v>37094.199999999953</v>
      </c>
      <c r="S56" s="2">
        <v>0.36956521739130399</v>
      </c>
      <c r="T56" s="2">
        <v>0</v>
      </c>
      <c r="U56" s="2">
        <f t="shared" si="9"/>
        <v>67.999999999999929</v>
      </c>
      <c r="V56" s="2">
        <f t="shared" si="10"/>
        <v>0</v>
      </c>
      <c r="W56" s="1">
        <f t="shared" si="11"/>
        <v>56996.919999999947</v>
      </c>
      <c r="X56" s="2">
        <v>6.5217391304347797E-2</v>
      </c>
      <c r="Y56" s="2">
        <v>0.119565217391304</v>
      </c>
      <c r="Z56" s="2">
        <v>0.108695652173913</v>
      </c>
      <c r="AA56" s="2">
        <v>4.3478260869565202E-2</v>
      </c>
      <c r="AB56" s="2">
        <v>5.9782608695652197E-2</v>
      </c>
      <c r="AC56" s="2">
        <v>5.4347826086956503E-3</v>
      </c>
      <c r="AD56" s="2">
        <f t="shared" ref="AD56:AI56" si="300">$F56*X56</f>
        <v>11.999999999999995</v>
      </c>
      <c r="AE56" s="2">
        <f t="shared" si="300"/>
        <v>21.999999999999936</v>
      </c>
      <c r="AF56" s="2">
        <f t="shared" si="300"/>
        <v>19.999999999999993</v>
      </c>
      <c r="AG56" s="2">
        <f t="shared" si="300"/>
        <v>7.9999999999999973</v>
      </c>
      <c r="AH56" s="2">
        <f t="shared" si="300"/>
        <v>11.000000000000004</v>
      </c>
      <c r="AI56" s="2">
        <f t="shared" si="300"/>
        <v>0.99999999999999967</v>
      </c>
      <c r="AJ56" s="1">
        <f t="shared" ref="AJ56:AO56" si="301">AD56*AJ$3</f>
        <v>3281.3999999999983</v>
      </c>
      <c r="AK56" s="1">
        <f t="shared" si="301"/>
        <v>7323.7999999999784</v>
      </c>
      <c r="AL56" s="1">
        <f t="shared" si="301"/>
        <v>10462.399999999996</v>
      </c>
      <c r="AM56" s="1">
        <f t="shared" si="301"/>
        <v>4565.4399999999978</v>
      </c>
      <c r="AN56" s="1">
        <f t="shared" si="301"/>
        <v>6669.8500000000022</v>
      </c>
      <c r="AO56" s="1">
        <f t="shared" si="301"/>
        <v>796.57999999999981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f t="shared" ref="AV56:BA56" si="302">$I56*AP56</f>
        <v>0</v>
      </c>
      <c r="AW56" s="2">
        <f t="shared" si="302"/>
        <v>0</v>
      </c>
      <c r="AX56" s="2">
        <f t="shared" si="302"/>
        <v>0</v>
      </c>
      <c r="AY56" s="2">
        <f t="shared" si="302"/>
        <v>0</v>
      </c>
      <c r="AZ56" s="2">
        <f t="shared" si="302"/>
        <v>0</v>
      </c>
      <c r="BA56" s="2">
        <f t="shared" si="302"/>
        <v>0</v>
      </c>
      <c r="BB56" s="1">
        <f t="shared" ref="BB56:BG56" si="303">AV56*BB$4</f>
        <v>0</v>
      </c>
      <c r="BC56" s="1">
        <f t="shared" si="303"/>
        <v>0</v>
      </c>
      <c r="BD56" s="1">
        <f t="shared" si="303"/>
        <v>0</v>
      </c>
      <c r="BE56" s="1">
        <f t="shared" si="303"/>
        <v>0</v>
      </c>
      <c r="BF56" s="1">
        <f t="shared" si="303"/>
        <v>0</v>
      </c>
      <c r="BG56" s="1">
        <f t="shared" si="303"/>
        <v>0</v>
      </c>
      <c r="BH56" s="1">
        <f t="shared" si="16"/>
        <v>33099.469999999972</v>
      </c>
      <c r="BI56" s="2">
        <v>0.43506493506493499</v>
      </c>
      <c r="BJ56" s="2">
        <v>0</v>
      </c>
      <c r="BK56" s="2">
        <f t="shared" si="17"/>
        <v>80.051948051948031</v>
      </c>
      <c r="BL56" s="2">
        <f t="shared" si="18"/>
        <v>0</v>
      </c>
      <c r="BM56" s="1">
        <f t="shared" si="19"/>
        <v>55201.421818181807</v>
      </c>
      <c r="BN56" s="2">
        <v>0.27283105022831056</v>
      </c>
      <c r="BO56" s="2">
        <f t="shared" si="20"/>
        <v>50.200913242009143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f t="shared" si="21"/>
        <v>0</v>
      </c>
      <c r="CA56" s="2">
        <f t="shared" si="22"/>
        <v>0</v>
      </c>
      <c r="CB56" s="1">
        <f t="shared" si="23"/>
        <v>68935.894063926957</v>
      </c>
      <c r="CC56" s="2">
        <v>7.6086956521739094E-2</v>
      </c>
      <c r="CD56" s="2">
        <v>0</v>
      </c>
      <c r="CE56" s="2">
        <f t="shared" si="24"/>
        <v>2.9599999999999937</v>
      </c>
      <c r="CF56" s="2">
        <f t="shared" si="25"/>
        <v>0</v>
      </c>
      <c r="CG56" s="1">
        <f t="shared" si="26"/>
        <v>3325.6487999999931</v>
      </c>
      <c r="CH56" s="2">
        <v>152181.76000000001</v>
      </c>
      <c r="CI56" s="2">
        <v>25067</v>
      </c>
      <c r="CJ56" s="1">
        <f t="shared" si="27"/>
        <v>810520</v>
      </c>
      <c r="CK56" s="2">
        <f t="shared" si="28"/>
        <v>0</v>
      </c>
      <c r="CL56" s="2">
        <v>1273554.8561</v>
      </c>
      <c r="CM56" s="22">
        <v>32551.3374</v>
      </c>
      <c r="CN56" s="22">
        <v>25067</v>
      </c>
      <c r="CO56" s="2">
        <f t="shared" si="29"/>
        <v>152181.76000000001</v>
      </c>
      <c r="CP56" s="2">
        <f t="shared" si="30"/>
        <v>1128857.4335</v>
      </c>
      <c r="CQ56" s="2">
        <v>188</v>
      </c>
      <c r="CR56" s="2">
        <f t="shared" si="31"/>
        <v>6004.560816489362</v>
      </c>
      <c r="CS56" s="2">
        <f t="shared" si="32"/>
        <v>6014.7685698773939</v>
      </c>
      <c r="CT56" s="2">
        <f t="shared" si="33"/>
        <v>1106717.4168574405</v>
      </c>
      <c r="CU56" s="2">
        <f t="shared" si="34"/>
        <v>25067</v>
      </c>
      <c r="CV56" s="2">
        <f t="shared" si="35"/>
        <v>152181.76000000001</v>
      </c>
      <c r="CW56" s="2">
        <f t="shared" si="36"/>
        <v>1283966.1768574405</v>
      </c>
      <c r="CX56" s="1">
        <f t="shared" si="37"/>
        <v>2535.8621753318876</v>
      </c>
      <c r="CY56" s="1">
        <f t="shared" si="38"/>
        <v>1283966.1768574405</v>
      </c>
      <c r="CZ56" s="2">
        <v>1</v>
      </c>
      <c r="DA56" s="2">
        <f t="shared" si="39"/>
        <v>2211.6799999999998</v>
      </c>
      <c r="DB56" s="2">
        <f t="shared" si="40"/>
        <v>6884.4675324675309</v>
      </c>
      <c r="DC56" s="2">
        <f t="shared" si="41"/>
        <v>621.91999999999996</v>
      </c>
      <c r="DD56" s="2">
        <f t="shared" si="42"/>
        <v>555.67999999999995</v>
      </c>
      <c r="DE56" s="2">
        <f t="shared" si="43"/>
        <v>1619.2</v>
      </c>
      <c r="DF56" s="2">
        <f t="shared" si="44"/>
        <v>4802.4000000000005</v>
      </c>
      <c r="DG56" s="1">
        <f t="shared" si="45"/>
        <v>16695.347532467531</v>
      </c>
      <c r="DH56" s="1">
        <f t="shared" si="46"/>
        <v>361979.11468210863</v>
      </c>
      <c r="DI56" s="9">
        <v>1</v>
      </c>
      <c r="DJ56" s="23">
        <v>5.36</v>
      </c>
      <c r="DK56" s="24">
        <v>0.06</v>
      </c>
      <c r="DL56" s="24">
        <v>0.1</v>
      </c>
      <c r="DM56" s="24">
        <v>0.45</v>
      </c>
      <c r="DN56" s="24">
        <v>0</v>
      </c>
      <c r="DO56" s="25">
        <v>5.97</v>
      </c>
      <c r="DP56" s="9">
        <v>7337</v>
      </c>
      <c r="DQ56" s="9">
        <v>9280</v>
      </c>
      <c r="DR56" s="9">
        <v>0</v>
      </c>
      <c r="DS56" s="9" t="str">
        <f t="shared" si="47"/>
        <v>6469459</v>
      </c>
      <c r="DT56" s="9">
        <f t="shared" si="48"/>
        <v>39802.663759999989</v>
      </c>
      <c r="DU56" s="26"/>
      <c r="DV56" s="9"/>
      <c r="DW56" s="9"/>
      <c r="DX56" s="9">
        <v>1281430.3146821086</v>
      </c>
      <c r="DY56" s="9">
        <v>361979.11468210863</v>
      </c>
      <c r="DZ56" s="9">
        <v>1283966.1768574405</v>
      </c>
      <c r="EA56" s="9">
        <v>1283966.1768574405</v>
      </c>
      <c r="EB56" s="9">
        <v>16695.347532467531</v>
      </c>
      <c r="EC56" s="9">
        <v>1267270.829324973</v>
      </c>
      <c r="ED56" s="9">
        <v>5.36</v>
      </c>
      <c r="EE56" s="9">
        <v>0.06</v>
      </c>
      <c r="EF56" s="9">
        <v>0.1</v>
      </c>
      <c r="EG56" s="9">
        <v>0.45</v>
      </c>
      <c r="EH56" s="9">
        <v>0</v>
      </c>
      <c r="EI56" s="9">
        <v>5.97</v>
      </c>
      <c r="EJ56" s="9">
        <v>0</v>
      </c>
      <c r="EK56" s="9">
        <v>39802.663759999989</v>
      </c>
      <c r="EL56" s="9">
        <v>9280</v>
      </c>
      <c r="EM56" s="9">
        <v>7337</v>
      </c>
      <c r="EN56" s="9">
        <v>1325710.1634847301</v>
      </c>
      <c r="EO56" s="9">
        <v>1327646.7924930414</v>
      </c>
      <c r="EP56" s="9">
        <f t="shared" si="63"/>
        <v>0</v>
      </c>
      <c r="EQ56" s="9">
        <f t="shared" si="49"/>
        <v>0</v>
      </c>
      <c r="ER56" s="9">
        <f t="shared" si="50"/>
        <v>0</v>
      </c>
      <c r="ES56" s="9">
        <f t="shared" si="51"/>
        <v>0</v>
      </c>
      <c r="ET56" s="9">
        <f t="shared" si="52"/>
        <v>0</v>
      </c>
      <c r="EU56" s="9">
        <f t="shared" si="53"/>
        <v>0</v>
      </c>
      <c r="EV56" s="9">
        <f t="shared" ref="EV56:FA56" si="304">ROUND(ED56-DJ56,0)</f>
        <v>0</v>
      </c>
      <c r="EW56" s="9">
        <f t="shared" si="304"/>
        <v>0</v>
      </c>
      <c r="EX56" s="9">
        <f t="shared" si="304"/>
        <v>0</v>
      </c>
      <c r="EY56" s="9">
        <f t="shared" si="304"/>
        <v>0</v>
      </c>
      <c r="EZ56" s="9">
        <f t="shared" si="304"/>
        <v>0</v>
      </c>
      <c r="FA56" s="9">
        <f t="shared" si="304"/>
        <v>0</v>
      </c>
      <c r="FB56" s="9">
        <f t="shared" si="55"/>
        <v>0</v>
      </c>
      <c r="FC56" s="9">
        <f t="shared" si="56"/>
        <v>0</v>
      </c>
      <c r="FD56" s="9">
        <f t="shared" si="57"/>
        <v>0</v>
      </c>
      <c r="FE56" s="9">
        <f t="shared" si="58"/>
        <v>0</v>
      </c>
      <c r="FF56" s="9"/>
      <c r="FG56" s="9"/>
      <c r="FH56" s="9"/>
      <c r="FI56" s="27"/>
      <c r="FJ56" s="21">
        <v>7995</v>
      </c>
      <c r="FK56" s="28">
        <v>4485</v>
      </c>
      <c r="FL56" s="28">
        <v>5220</v>
      </c>
      <c r="FM56" s="29">
        <v>570</v>
      </c>
      <c r="FN56" s="28">
        <v>0</v>
      </c>
      <c r="FO56" s="9"/>
    </row>
    <row r="57" spans="1:171">
      <c r="A57" s="2" t="s">
        <v>278</v>
      </c>
      <c r="B57" s="2">
        <v>100277</v>
      </c>
      <c r="C57" s="2">
        <v>2044283</v>
      </c>
      <c r="D57" s="2" t="s">
        <v>279</v>
      </c>
      <c r="E57" s="2">
        <v>940</v>
      </c>
      <c r="F57" s="2">
        <v>0</v>
      </c>
      <c r="G57" s="2">
        <v>0</v>
      </c>
      <c r="H57" s="2">
        <v>0</v>
      </c>
      <c r="I57" s="2">
        <v>940</v>
      </c>
      <c r="J57" s="2">
        <v>543</v>
      </c>
      <c r="K57" s="2">
        <v>397</v>
      </c>
      <c r="L57" s="2">
        <v>0</v>
      </c>
      <c r="M57" s="1">
        <f t="shared" si="5"/>
        <v>6294646</v>
      </c>
      <c r="N57" s="2">
        <v>0</v>
      </c>
      <c r="O57" s="2">
        <v>0.445744680851064</v>
      </c>
      <c r="P57" s="2">
        <f t="shared" si="6"/>
        <v>0</v>
      </c>
      <c r="Q57" s="2">
        <f t="shared" si="7"/>
        <v>419.00000000000017</v>
      </c>
      <c r="R57" s="1">
        <f t="shared" si="8"/>
        <v>239114.92000000007</v>
      </c>
      <c r="S57" s="2">
        <v>0</v>
      </c>
      <c r="T57" s="2">
        <v>0.49787234042553202</v>
      </c>
      <c r="U57" s="2">
        <f t="shared" si="9"/>
        <v>0</v>
      </c>
      <c r="V57" s="2">
        <f t="shared" si="10"/>
        <v>468.00000000000011</v>
      </c>
      <c r="W57" s="1">
        <f t="shared" si="11"/>
        <v>573108.12000000011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f t="shared" ref="AD57:AI57" si="305">$F57*X57</f>
        <v>0</v>
      </c>
      <c r="AE57" s="2">
        <f t="shared" si="305"/>
        <v>0</v>
      </c>
      <c r="AF57" s="2">
        <f t="shared" si="305"/>
        <v>0</v>
      </c>
      <c r="AG57" s="2">
        <f t="shared" si="305"/>
        <v>0</v>
      </c>
      <c r="AH57" s="2">
        <f t="shared" si="305"/>
        <v>0</v>
      </c>
      <c r="AI57" s="2">
        <f t="shared" si="305"/>
        <v>0</v>
      </c>
      <c r="AJ57" s="1">
        <f t="shared" ref="AJ57:AO57" si="306">AD57*AJ$3</f>
        <v>0</v>
      </c>
      <c r="AK57" s="1">
        <f t="shared" si="306"/>
        <v>0</v>
      </c>
      <c r="AL57" s="1">
        <f t="shared" si="306"/>
        <v>0</v>
      </c>
      <c r="AM57" s="1">
        <f t="shared" si="306"/>
        <v>0</v>
      </c>
      <c r="AN57" s="1">
        <f t="shared" si="306"/>
        <v>0</v>
      </c>
      <c r="AO57" s="1">
        <f t="shared" si="306"/>
        <v>0</v>
      </c>
      <c r="AP57" s="2">
        <v>0.12978723404255299</v>
      </c>
      <c r="AQ57" s="2">
        <v>0.237234042553191</v>
      </c>
      <c r="AR57" s="2">
        <v>0.20425531914893599</v>
      </c>
      <c r="AS57" s="2">
        <v>0.15319148936170199</v>
      </c>
      <c r="AT57" s="2">
        <v>0.177659574468085</v>
      </c>
      <c r="AU57" s="2">
        <v>1.48936170212766E-2</v>
      </c>
      <c r="AV57" s="2">
        <f t="shared" ref="AV57:BA57" si="307">$I57*AP57</f>
        <v>121.99999999999982</v>
      </c>
      <c r="AW57" s="2">
        <f t="shared" si="307"/>
        <v>222.99999999999955</v>
      </c>
      <c r="AX57" s="2">
        <f t="shared" si="307"/>
        <v>191.99999999999983</v>
      </c>
      <c r="AY57" s="2">
        <f t="shared" si="307"/>
        <v>143.99999999999986</v>
      </c>
      <c r="AZ57" s="2">
        <f t="shared" si="307"/>
        <v>166.99999999999991</v>
      </c>
      <c r="BA57" s="2">
        <f t="shared" si="307"/>
        <v>14.000000000000004</v>
      </c>
      <c r="BB57" s="1">
        <f t="shared" ref="BB57:BG57" si="308">AV57*BB$4</f>
        <v>48591.379999999932</v>
      </c>
      <c r="BC57" s="1">
        <f t="shared" si="308"/>
        <v>117982.60999999977</v>
      </c>
      <c r="BD57" s="1">
        <f t="shared" si="308"/>
        <v>141528.95999999988</v>
      </c>
      <c r="BE57" s="1">
        <f t="shared" si="308"/>
        <v>116419.67999999989</v>
      </c>
      <c r="BF57" s="1">
        <f t="shared" si="308"/>
        <v>144940.96999999991</v>
      </c>
      <c r="BG57" s="1">
        <f t="shared" si="308"/>
        <v>15479.800000000005</v>
      </c>
      <c r="BH57" s="1">
        <f t="shared" si="16"/>
        <v>584943.39999999944</v>
      </c>
      <c r="BI57" s="2">
        <v>0</v>
      </c>
      <c r="BJ57" s="2">
        <v>3.0851063829787199E-2</v>
      </c>
      <c r="BK57" s="2">
        <f t="shared" si="17"/>
        <v>0</v>
      </c>
      <c r="BL57" s="2">
        <f t="shared" si="18"/>
        <v>28.999999999999968</v>
      </c>
      <c r="BM57" s="1">
        <f t="shared" si="19"/>
        <v>53959.139999999941</v>
      </c>
      <c r="BN57" s="2">
        <v>0</v>
      </c>
      <c r="BO57" s="2">
        <f t="shared" si="20"/>
        <v>0</v>
      </c>
      <c r="BP57" s="2">
        <v>177</v>
      </c>
      <c r="BQ57" s="2">
        <v>172</v>
      </c>
      <c r="BR57" s="2">
        <v>194</v>
      </c>
      <c r="BS57" s="2">
        <v>229</v>
      </c>
      <c r="BT57" s="2">
        <v>168</v>
      </c>
      <c r="BU57" s="2">
        <v>0.300578034682081</v>
      </c>
      <c r="BV57" s="2">
        <v>0.27188940092165897</v>
      </c>
      <c r="BW57" s="2">
        <v>0.27188940092165897</v>
      </c>
      <c r="BX57" s="2">
        <v>0.27188940092165897</v>
      </c>
      <c r="BY57" s="2">
        <v>0.25503355704698</v>
      </c>
      <c r="BZ57" s="2">
        <f t="shared" si="21"/>
        <v>0.17086259549391611</v>
      </c>
      <c r="CA57" s="2">
        <f t="shared" si="22"/>
        <v>160.61083976428114</v>
      </c>
      <c r="CB57" s="1">
        <f t="shared" si="23"/>
        <v>334168.51932196098</v>
      </c>
      <c r="CC57" s="2">
        <v>0</v>
      </c>
      <c r="CD57" s="2">
        <v>7.2340425531914901E-2</v>
      </c>
      <c r="CE57" s="2">
        <f t="shared" si="24"/>
        <v>0</v>
      </c>
      <c r="CF57" s="2">
        <f t="shared" si="25"/>
        <v>11.600000000000009</v>
      </c>
      <c r="CG57" s="1">
        <f t="shared" si="26"/>
        <v>18756.388000000014</v>
      </c>
      <c r="CH57" s="2">
        <v>152181.76000000001</v>
      </c>
      <c r="CI57" s="2">
        <v>116668</v>
      </c>
      <c r="CJ57" s="1">
        <f t="shared" si="27"/>
        <v>5372100</v>
      </c>
      <c r="CK57" s="2">
        <f t="shared" si="28"/>
        <v>0</v>
      </c>
      <c r="CL57" s="2">
        <v>7856301.5405999999</v>
      </c>
      <c r="CM57" s="22">
        <v>227827.33379999999</v>
      </c>
      <c r="CN57" s="22">
        <v>116668</v>
      </c>
      <c r="CO57" s="2">
        <f t="shared" si="29"/>
        <v>152181.76000000001</v>
      </c>
      <c r="CP57" s="2">
        <f t="shared" si="30"/>
        <v>7815279.1144000003</v>
      </c>
      <c r="CQ57" s="2">
        <v>900</v>
      </c>
      <c r="CR57" s="2">
        <f t="shared" si="31"/>
        <v>8683.6434604444439</v>
      </c>
      <c r="CS57" s="2">
        <f t="shared" si="32"/>
        <v>8698.4056543272</v>
      </c>
      <c r="CT57" s="2">
        <f t="shared" si="33"/>
        <v>8176501.3150675679</v>
      </c>
      <c r="CU57" s="2">
        <f t="shared" si="34"/>
        <v>116668</v>
      </c>
      <c r="CV57" s="2">
        <f t="shared" si="35"/>
        <v>152181.76000000001</v>
      </c>
      <c r="CW57" s="2">
        <f t="shared" si="36"/>
        <v>8445351.0750675686</v>
      </c>
      <c r="CX57" s="1">
        <f t="shared" si="37"/>
        <v>77804.827745607938</v>
      </c>
      <c r="CY57" s="1">
        <f t="shared" si="38"/>
        <v>8445351.0750675686</v>
      </c>
      <c r="CZ57" s="2">
        <v>1</v>
      </c>
      <c r="DA57" s="2">
        <f t="shared" si="39"/>
        <v>11298.8</v>
      </c>
      <c r="DB57" s="2">
        <f t="shared" si="40"/>
        <v>2493.9999999999973</v>
      </c>
      <c r="DC57" s="2">
        <f t="shared" si="41"/>
        <v>3177.2</v>
      </c>
      <c r="DD57" s="2">
        <f t="shared" si="42"/>
        <v>2838.8</v>
      </c>
      <c r="DE57" s="2">
        <f t="shared" si="43"/>
        <v>8272</v>
      </c>
      <c r="DF57" s="2">
        <f t="shared" si="44"/>
        <v>24534</v>
      </c>
      <c r="DG57" s="1">
        <f t="shared" si="45"/>
        <v>52614.799999999996</v>
      </c>
      <c r="DH57" s="1">
        <f t="shared" si="46"/>
        <v>2635025.3873219606</v>
      </c>
      <c r="DI57" s="9">
        <v>2</v>
      </c>
      <c r="DJ57" s="23">
        <v>0</v>
      </c>
      <c r="DK57" s="24">
        <v>0</v>
      </c>
      <c r="DL57" s="24">
        <v>0</v>
      </c>
      <c r="DM57" s="24">
        <v>0</v>
      </c>
      <c r="DN57" s="24">
        <v>0</v>
      </c>
      <c r="DO57" s="25">
        <v>0</v>
      </c>
      <c r="DP57" s="9">
        <v>0</v>
      </c>
      <c r="DQ57" s="9">
        <v>132756</v>
      </c>
      <c r="DR57" s="9">
        <v>0</v>
      </c>
      <c r="DS57" s="9" t="str">
        <f t="shared" si="47"/>
        <v>5626999</v>
      </c>
      <c r="DT57" s="9">
        <f t="shared" si="48"/>
        <v>288075.31599999999</v>
      </c>
      <c r="DU57" s="26"/>
      <c r="DV57" s="9"/>
      <c r="DW57" s="9"/>
      <c r="DX57" s="9">
        <v>8367546.2473219596</v>
      </c>
      <c r="DY57" s="9">
        <v>2635025.3873219602</v>
      </c>
      <c r="DZ57" s="9">
        <v>8445351.0750675686</v>
      </c>
      <c r="EA57" s="9">
        <v>8445351.0750675686</v>
      </c>
      <c r="EB57" s="9">
        <v>52614.799999999996</v>
      </c>
      <c r="EC57" s="9">
        <v>8392736.2750675678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288075.31599999999</v>
      </c>
      <c r="EL57" s="9">
        <v>132756</v>
      </c>
      <c r="EM57" s="9">
        <v>0</v>
      </c>
      <c r="EN57" s="9">
        <v>8747808.4100706242</v>
      </c>
      <c r="EO57" s="9">
        <v>8762206.8843981326</v>
      </c>
      <c r="EP57" s="9">
        <f t="shared" si="63"/>
        <v>0</v>
      </c>
      <c r="EQ57" s="9">
        <f t="shared" si="49"/>
        <v>0</v>
      </c>
      <c r="ER57" s="9">
        <f t="shared" si="50"/>
        <v>0</v>
      </c>
      <c r="ES57" s="9">
        <f t="shared" si="51"/>
        <v>0</v>
      </c>
      <c r="ET57" s="9">
        <f t="shared" si="52"/>
        <v>0</v>
      </c>
      <c r="EU57" s="9">
        <f t="shared" si="53"/>
        <v>0</v>
      </c>
      <c r="EV57" s="9">
        <f t="shared" ref="EV57:FA57" si="309">ROUND(ED57-DJ57,0)</f>
        <v>0</v>
      </c>
      <c r="EW57" s="9">
        <f t="shared" si="309"/>
        <v>0</v>
      </c>
      <c r="EX57" s="9">
        <f t="shared" si="309"/>
        <v>0</v>
      </c>
      <c r="EY57" s="9">
        <f t="shared" si="309"/>
        <v>0</v>
      </c>
      <c r="EZ57" s="9">
        <f t="shared" si="309"/>
        <v>0</v>
      </c>
      <c r="FA57" s="9">
        <f t="shared" si="309"/>
        <v>0</v>
      </c>
      <c r="FB57" s="9">
        <f t="shared" si="55"/>
        <v>0</v>
      </c>
      <c r="FC57" s="9">
        <f t="shared" si="56"/>
        <v>0</v>
      </c>
      <c r="FD57" s="9">
        <f t="shared" si="57"/>
        <v>0</v>
      </c>
      <c r="FE57" s="9">
        <f t="shared" si="58"/>
        <v>0</v>
      </c>
      <c r="FF57" s="9"/>
      <c r="FG57" s="9"/>
      <c r="FH57" s="9"/>
      <c r="FI57" s="27"/>
      <c r="FJ57" s="21">
        <v>0</v>
      </c>
      <c r="FK57" s="21">
        <v>0</v>
      </c>
      <c r="FL57" s="21">
        <v>0</v>
      </c>
      <c r="FM57" s="21" t="e">
        <v>#N/A</v>
      </c>
      <c r="FN57" s="21">
        <v>0</v>
      </c>
      <c r="FO57" s="9"/>
    </row>
    <row r="58" spans="1:171">
      <c r="A58" s="2" t="s">
        <v>280</v>
      </c>
      <c r="B58" s="2">
        <v>100279</v>
      </c>
      <c r="C58" s="2">
        <v>2044310</v>
      </c>
      <c r="D58" s="2" t="s">
        <v>281</v>
      </c>
      <c r="E58" s="2">
        <v>1261</v>
      </c>
      <c r="F58" s="2">
        <v>0</v>
      </c>
      <c r="G58" s="2">
        <v>0</v>
      </c>
      <c r="H58" s="2">
        <v>0</v>
      </c>
      <c r="I58" s="2">
        <v>1261</v>
      </c>
      <c r="J58" s="2">
        <v>755</v>
      </c>
      <c r="K58" s="2">
        <v>506</v>
      </c>
      <c r="L58" s="2">
        <v>0</v>
      </c>
      <c r="M58" s="1">
        <f t="shared" si="5"/>
        <v>8432031</v>
      </c>
      <c r="N58" s="2">
        <v>0</v>
      </c>
      <c r="O58" s="2">
        <v>0.31403647898493298</v>
      </c>
      <c r="P58" s="2">
        <f t="shared" si="6"/>
        <v>0</v>
      </c>
      <c r="Q58" s="2">
        <f t="shared" si="7"/>
        <v>396.00000000000045</v>
      </c>
      <c r="R58" s="1">
        <f t="shared" si="8"/>
        <v>225989.28000000023</v>
      </c>
      <c r="S58" s="2">
        <v>0</v>
      </c>
      <c r="T58" s="2">
        <v>0.37034099920697899</v>
      </c>
      <c r="U58" s="2">
        <f t="shared" si="9"/>
        <v>0</v>
      </c>
      <c r="V58" s="2">
        <f t="shared" si="10"/>
        <v>467.00000000000051</v>
      </c>
      <c r="W58" s="1">
        <f t="shared" si="11"/>
        <v>571883.53000000061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f t="shared" ref="AD58:AI58" si="310">$F58*X58</f>
        <v>0</v>
      </c>
      <c r="AE58" s="2">
        <f t="shared" si="310"/>
        <v>0</v>
      </c>
      <c r="AF58" s="2">
        <f t="shared" si="310"/>
        <v>0</v>
      </c>
      <c r="AG58" s="2">
        <f t="shared" si="310"/>
        <v>0</v>
      </c>
      <c r="AH58" s="2">
        <f t="shared" si="310"/>
        <v>0</v>
      </c>
      <c r="AI58" s="2">
        <f t="shared" si="310"/>
        <v>0</v>
      </c>
      <c r="AJ58" s="1">
        <f t="shared" ref="AJ58:AO58" si="311">AD58*AJ$3</f>
        <v>0</v>
      </c>
      <c r="AK58" s="1">
        <f t="shared" si="311"/>
        <v>0</v>
      </c>
      <c r="AL58" s="1">
        <f t="shared" si="311"/>
        <v>0</v>
      </c>
      <c r="AM58" s="1">
        <f t="shared" si="311"/>
        <v>0</v>
      </c>
      <c r="AN58" s="1">
        <f t="shared" si="311"/>
        <v>0</v>
      </c>
      <c r="AO58" s="1">
        <f t="shared" si="311"/>
        <v>0</v>
      </c>
      <c r="AP58" s="2">
        <v>0.16825396825396799</v>
      </c>
      <c r="AQ58" s="2">
        <v>0.17301587301587301</v>
      </c>
      <c r="AR58" s="2">
        <v>5.7936507936507897E-2</v>
      </c>
      <c r="AS58" s="2">
        <v>9.3650793650793707E-2</v>
      </c>
      <c r="AT58" s="2">
        <v>0.103968253968254</v>
      </c>
      <c r="AU58" s="2">
        <v>7.14285714285714E-3</v>
      </c>
      <c r="AV58" s="2">
        <f t="shared" ref="AV58:BA58" si="312">$I58*AP58</f>
        <v>212.16825396825362</v>
      </c>
      <c r="AW58" s="2">
        <f t="shared" si="312"/>
        <v>218.17301587301586</v>
      </c>
      <c r="AX58" s="2">
        <f t="shared" si="312"/>
        <v>73.057936507936461</v>
      </c>
      <c r="AY58" s="2">
        <f t="shared" si="312"/>
        <v>118.09365079365087</v>
      </c>
      <c r="AZ58" s="2">
        <f t="shared" si="312"/>
        <v>131.1039682539683</v>
      </c>
      <c r="BA58" s="2">
        <f t="shared" si="312"/>
        <v>9.0071428571428545</v>
      </c>
      <c r="BB58" s="1">
        <f t="shared" ref="BB58:BG58" si="313">AV58*BB$4</f>
        <v>84504.493873015745</v>
      </c>
      <c r="BC58" s="1">
        <f t="shared" si="313"/>
        <v>115428.79750793651</v>
      </c>
      <c r="BD58" s="1">
        <f t="shared" si="313"/>
        <v>53853.196738095205</v>
      </c>
      <c r="BE58" s="1">
        <f t="shared" si="313"/>
        <v>95475.173857142916</v>
      </c>
      <c r="BF58" s="1">
        <f t="shared" si="313"/>
        <v>113786.44508730163</v>
      </c>
      <c r="BG58" s="1">
        <f t="shared" si="313"/>
        <v>9959.1978571428554</v>
      </c>
      <c r="BH58" s="1">
        <f t="shared" si="16"/>
        <v>473007.3049206349</v>
      </c>
      <c r="BI58" s="2">
        <v>0</v>
      </c>
      <c r="BJ58" s="2">
        <v>1.5885623510722799E-2</v>
      </c>
      <c r="BK58" s="2">
        <f t="shared" si="17"/>
        <v>0</v>
      </c>
      <c r="BL58" s="2">
        <f t="shared" si="18"/>
        <v>20.03177124702145</v>
      </c>
      <c r="BM58" s="1">
        <f t="shared" si="19"/>
        <v>37272.315488482935</v>
      </c>
      <c r="BN58" s="2">
        <v>0</v>
      </c>
      <c r="BO58" s="2">
        <f t="shared" si="20"/>
        <v>0</v>
      </c>
      <c r="BP58" s="2">
        <v>250</v>
      </c>
      <c r="BQ58" s="2">
        <v>254</v>
      </c>
      <c r="BR58" s="2">
        <v>251</v>
      </c>
      <c r="BS58" s="2">
        <v>254</v>
      </c>
      <c r="BT58" s="2">
        <v>252</v>
      </c>
      <c r="BU58" s="2">
        <v>0.276422764227642</v>
      </c>
      <c r="BV58" s="2">
        <v>0.255230125523013</v>
      </c>
      <c r="BW58" s="2">
        <v>0.255230125523013</v>
      </c>
      <c r="BX58" s="2">
        <v>0.255230125523013</v>
      </c>
      <c r="BY58" s="2">
        <v>0.25941422594142299</v>
      </c>
      <c r="BZ58" s="2">
        <f t="shared" si="21"/>
        <v>0.16194334510022446</v>
      </c>
      <c r="CA58" s="2">
        <f t="shared" si="22"/>
        <v>204.21055817138304</v>
      </c>
      <c r="CB58" s="1">
        <f t="shared" si="23"/>
        <v>424882.52943696128</v>
      </c>
      <c r="CC58" s="2">
        <v>0</v>
      </c>
      <c r="CD58" s="2">
        <v>3.7331215250198599E-2</v>
      </c>
      <c r="CE58" s="2">
        <f t="shared" si="24"/>
        <v>0</v>
      </c>
      <c r="CF58" s="2">
        <f t="shared" si="25"/>
        <v>0</v>
      </c>
      <c r="CG58" s="1">
        <f t="shared" si="26"/>
        <v>0</v>
      </c>
      <c r="CH58" s="2">
        <v>152181.76000000001</v>
      </c>
      <c r="CI58" s="2">
        <v>200777</v>
      </c>
      <c r="CJ58" s="1">
        <f t="shared" si="27"/>
        <v>7206615</v>
      </c>
      <c r="CK58" s="2">
        <f t="shared" si="28"/>
        <v>0</v>
      </c>
      <c r="CL58" s="2">
        <v>10444669.865499999</v>
      </c>
      <c r="CM58" s="22">
        <v>289441.30619999999</v>
      </c>
      <c r="CN58" s="22">
        <v>200777</v>
      </c>
      <c r="CO58" s="2">
        <f t="shared" si="29"/>
        <v>152181.76000000001</v>
      </c>
      <c r="CP58" s="2">
        <f t="shared" si="30"/>
        <v>10381152.411699999</v>
      </c>
      <c r="CQ58" s="2">
        <v>1265</v>
      </c>
      <c r="CR58" s="2">
        <f t="shared" si="31"/>
        <v>8206.4445942292477</v>
      </c>
      <c r="CS58" s="2">
        <f t="shared" si="32"/>
        <v>8220.3955500394386</v>
      </c>
      <c r="CT58" s="2">
        <f t="shared" si="33"/>
        <v>10365918.788599731</v>
      </c>
      <c r="CU58" s="2">
        <f t="shared" si="34"/>
        <v>200777</v>
      </c>
      <c r="CV58" s="2">
        <f t="shared" si="35"/>
        <v>152181.76000000001</v>
      </c>
      <c r="CW58" s="2">
        <f t="shared" si="36"/>
        <v>10718877.548599731</v>
      </c>
      <c r="CX58" s="1">
        <f t="shared" si="37"/>
        <v>200852.828753651</v>
      </c>
      <c r="CY58" s="1">
        <f t="shared" si="38"/>
        <v>10718877.548599729</v>
      </c>
      <c r="CZ58" s="2">
        <v>1</v>
      </c>
      <c r="DA58" s="2">
        <f t="shared" si="39"/>
        <v>15157.22</v>
      </c>
      <c r="DB58" s="2">
        <f t="shared" si="40"/>
        <v>1722.7323272438446</v>
      </c>
      <c r="DC58" s="2">
        <f t="shared" si="41"/>
        <v>4262.18</v>
      </c>
      <c r="DD58" s="2">
        <f t="shared" si="42"/>
        <v>3808.22</v>
      </c>
      <c r="DE58" s="2">
        <f t="shared" si="43"/>
        <v>11096.800000000001</v>
      </c>
      <c r="DF58" s="2">
        <f t="shared" si="44"/>
        <v>32912.1</v>
      </c>
      <c r="DG58" s="1">
        <f t="shared" si="45"/>
        <v>68959.252327243856</v>
      </c>
      <c r="DH58" s="1">
        <f t="shared" si="46"/>
        <v>2940490.9498460796</v>
      </c>
      <c r="DI58" s="9">
        <v>2</v>
      </c>
      <c r="DJ58" s="23">
        <v>0</v>
      </c>
      <c r="DK58" s="24">
        <v>0</v>
      </c>
      <c r="DL58" s="24">
        <v>0</v>
      </c>
      <c r="DM58" s="24">
        <v>0</v>
      </c>
      <c r="DN58" s="24">
        <v>0</v>
      </c>
      <c r="DO58" s="25">
        <v>0</v>
      </c>
      <c r="DP58" s="9">
        <v>0</v>
      </c>
      <c r="DQ58" s="9">
        <v>129720</v>
      </c>
      <c r="DR58" s="9">
        <v>0</v>
      </c>
      <c r="DS58" s="9" t="str">
        <f t="shared" si="47"/>
        <v>6944143</v>
      </c>
      <c r="DT58" s="9">
        <f t="shared" si="48"/>
        <v>354861.70808000007</v>
      </c>
      <c r="DU58" s="26"/>
      <c r="DV58" s="9"/>
      <c r="DW58" s="9"/>
      <c r="DX58" s="9">
        <v>10518024.719846081</v>
      </c>
      <c r="DY58" s="9">
        <v>2940490.9498460796</v>
      </c>
      <c r="DZ58" s="9">
        <v>10718877.548599731</v>
      </c>
      <c r="EA58" s="9">
        <v>10718877.548599731</v>
      </c>
      <c r="EB58" s="9">
        <v>68959.252327243856</v>
      </c>
      <c r="EC58" s="9">
        <v>10649918.296272486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354861.70808000007</v>
      </c>
      <c r="EL58" s="9">
        <v>129720</v>
      </c>
      <c r="EM58" s="9">
        <v>0</v>
      </c>
      <c r="EN58" s="9">
        <v>11091956.822254326</v>
      </c>
      <c r="EO58" s="9">
        <v>11110197.363582548</v>
      </c>
      <c r="EP58" s="9">
        <f t="shared" si="63"/>
        <v>0</v>
      </c>
      <c r="EQ58" s="9">
        <f t="shared" si="49"/>
        <v>0</v>
      </c>
      <c r="ER58" s="9">
        <f t="shared" si="50"/>
        <v>0</v>
      </c>
      <c r="ES58" s="9">
        <f t="shared" si="51"/>
        <v>0</v>
      </c>
      <c r="ET58" s="9">
        <f t="shared" si="52"/>
        <v>0</v>
      </c>
      <c r="EU58" s="9">
        <f t="shared" si="53"/>
        <v>0</v>
      </c>
      <c r="EV58" s="9">
        <f t="shared" ref="EV58:FA58" si="314">ROUND(ED58-DJ58,0)</f>
        <v>0</v>
      </c>
      <c r="EW58" s="9">
        <f t="shared" si="314"/>
        <v>0</v>
      </c>
      <c r="EX58" s="9">
        <f t="shared" si="314"/>
        <v>0</v>
      </c>
      <c r="EY58" s="9">
        <f t="shared" si="314"/>
        <v>0</v>
      </c>
      <c r="EZ58" s="9">
        <f t="shared" si="314"/>
        <v>0</v>
      </c>
      <c r="FA58" s="9">
        <f t="shared" si="314"/>
        <v>0</v>
      </c>
      <c r="FB58" s="9">
        <f t="shared" si="55"/>
        <v>0</v>
      </c>
      <c r="FC58" s="9">
        <f t="shared" si="56"/>
        <v>0</v>
      </c>
      <c r="FD58" s="9">
        <f t="shared" si="57"/>
        <v>0</v>
      </c>
      <c r="FE58" s="9">
        <f t="shared" si="58"/>
        <v>0</v>
      </c>
      <c r="FF58" s="9"/>
      <c r="FG58" s="9"/>
      <c r="FH58" s="9"/>
      <c r="FI58" s="27"/>
      <c r="FJ58" s="21">
        <v>0</v>
      </c>
      <c r="FK58" s="21">
        <v>0</v>
      </c>
      <c r="FL58" s="21">
        <v>0</v>
      </c>
      <c r="FM58" s="21" t="e">
        <v>#N/A</v>
      </c>
      <c r="FN58" s="21">
        <v>0</v>
      </c>
      <c r="FO58" s="9"/>
    </row>
    <row r="59" spans="1:171">
      <c r="A59" s="2" t="s">
        <v>282</v>
      </c>
      <c r="B59" s="2">
        <v>133599</v>
      </c>
      <c r="C59" s="2">
        <v>2044318</v>
      </c>
      <c r="D59" s="2" t="s">
        <v>283</v>
      </c>
      <c r="E59" s="2">
        <v>356</v>
      </c>
      <c r="F59" s="2">
        <v>0</v>
      </c>
      <c r="G59" s="2">
        <v>0</v>
      </c>
      <c r="H59" s="2">
        <v>0</v>
      </c>
      <c r="I59" s="2">
        <v>356</v>
      </c>
      <c r="J59" s="2">
        <v>226</v>
      </c>
      <c r="K59" s="2">
        <v>130</v>
      </c>
      <c r="L59" s="2">
        <v>0</v>
      </c>
      <c r="M59" s="1">
        <f t="shared" si="5"/>
        <v>2374608</v>
      </c>
      <c r="N59" s="2">
        <v>0</v>
      </c>
      <c r="O59" s="2">
        <v>3.0898876404494399E-2</v>
      </c>
      <c r="P59" s="2">
        <f t="shared" si="6"/>
        <v>0</v>
      </c>
      <c r="Q59" s="2">
        <f t="shared" si="7"/>
        <v>11.000000000000005</v>
      </c>
      <c r="R59" s="1">
        <f t="shared" si="8"/>
        <v>6277.4800000000023</v>
      </c>
      <c r="S59" s="2">
        <v>0</v>
      </c>
      <c r="T59" s="2">
        <v>3.0898876404494399E-2</v>
      </c>
      <c r="U59" s="2">
        <f t="shared" si="9"/>
        <v>0</v>
      </c>
      <c r="V59" s="2">
        <f t="shared" si="10"/>
        <v>11.000000000000005</v>
      </c>
      <c r="W59" s="1">
        <f t="shared" si="11"/>
        <v>13470.490000000005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f t="shared" ref="AD59:AI59" si="315">$F59*X59</f>
        <v>0</v>
      </c>
      <c r="AE59" s="2">
        <f t="shared" si="315"/>
        <v>0</v>
      </c>
      <c r="AF59" s="2">
        <f t="shared" si="315"/>
        <v>0</v>
      </c>
      <c r="AG59" s="2">
        <f t="shared" si="315"/>
        <v>0</v>
      </c>
      <c r="AH59" s="2">
        <f t="shared" si="315"/>
        <v>0</v>
      </c>
      <c r="AI59" s="2">
        <f t="shared" si="315"/>
        <v>0</v>
      </c>
      <c r="AJ59" s="1">
        <f t="shared" ref="AJ59:AO59" si="316">AD59*AJ$3</f>
        <v>0</v>
      </c>
      <c r="AK59" s="1">
        <f t="shared" si="316"/>
        <v>0</v>
      </c>
      <c r="AL59" s="1">
        <f t="shared" si="316"/>
        <v>0</v>
      </c>
      <c r="AM59" s="1">
        <f t="shared" si="316"/>
        <v>0</v>
      </c>
      <c r="AN59" s="1">
        <f t="shared" si="316"/>
        <v>0</v>
      </c>
      <c r="AO59" s="1">
        <f t="shared" si="316"/>
        <v>0</v>
      </c>
      <c r="AP59" s="2">
        <v>9.0140845070422498E-2</v>
      </c>
      <c r="AQ59" s="2">
        <v>4.5070422535211298E-2</v>
      </c>
      <c r="AR59" s="2">
        <v>1.97183098591549E-2</v>
      </c>
      <c r="AS59" s="2">
        <v>0</v>
      </c>
      <c r="AT59" s="2">
        <v>2.8169014084507E-3</v>
      </c>
      <c r="AU59" s="2">
        <v>0</v>
      </c>
      <c r="AV59" s="2">
        <f t="shared" ref="AV59:BA59" si="317">$I59*AP59</f>
        <v>32.090140845070408</v>
      </c>
      <c r="AW59" s="2">
        <f t="shared" si="317"/>
        <v>16.045070422535222</v>
      </c>
      <c r="AX59" s="2">
        <f t="shared" si="317"/>
        <v>7.0197183098591447</v>
      </c>
      <c r="AY59" s="2">
        <f t="shared" si="317"/>
        <v>0</v>
      </c>
      <c r="AZ59" s="2">
        <f t="shared" si="317"/>
        <v>1.0028169014084491</v>
      </c>
      <c r="BA59" s="2">
        <f t="shared" si="317"/>
        <v>0</v>
      </c>
      <c r="BB59" s="1">
        <f t="shared" ref="BB59:BG59" si="318">AV59*BB$4</f>
        <v>12781.182197183094</v>
      </c>
      <c r="BC59" s="1">
        <f t="shared" si="318"/>
        <v>8488.965408450711</v>
      </c>
      <c r="BD59" s="1">
        <f t="shared" si="318"/>
        <v>5174.4449577464711</v>
      </c>
      <c r="BE59" s="1">
        <f t="shared" si="318"/>
        <v>0</v>
      </c>
      <c r="BF59" s="1">
        <f t="shared" si="318"/>
        <v>870.35481690140705</v>
      </c>
      <c r="BG59" s="1">
        <f t="shared" si="318"/>
        <v>0</v>
      </c>
      <c r="BH59" s="1">
        <f t="shared" si="16"/>
        <v>27314.947380281683</v>
      </c>
      <c r="BI59" s="2">
        <v>0</v>
      </c>
      <c r="BJ59" s="2">
        <v>4.7752808988764002E-2</v>
      </c>
      <c r="BK59" s="2">
        <f t="shared" si="17"/>
        <v>0</v>
      </c>
      <c r="BL59" s="2">
        <f t="shared" si="18"/>
        <v>16.999999999999986</v>
      </c>
      <c r="BM59" s="1">
        <f t="shared" si="19"/>
        <v>31631.219999999976</v>
      </c>
      <c r="BN59" s="2">
        <v>0</v>
      </c>
      <c r="BO59" s="2">
        <f t="shared" si="20"/>
        <v>0</v>
      </c>
      <c r="BP59" s="2">
        <v>70</v>
      </c>
      <c r="BQ59" s="2">
        <v>74</v>
      </c>
      <c r="BR59" s="2">
        <v>82</v>
      </c>
      <c r="BS59" s="2">
        <v>68</v>
      </c>
      <c r="BT59" s="2">
        <v>62</v>
      </c>
      <c r="BU59" s="2">
        <v>0</v>
      </c>
      <c r="BV59" s="2">
        <v>1</v>
      </c>
      <c r="BW59" s="2">
        <v>1</v>
      </c>
      <c r="BX59" s="2">
        <v>1</v>
      </c>
      <c r="BY59" s="2">
        <v>1</v>
      </c>
      <c r="BZ59" s="2">
        <f t="shared" si="21"/>
        <v>0.51675225960674154</v>
      </c>
      <c r="CA59" s="2">
        <f t="shared" si="22"/>
        <v>183.96380441999997</v>
      </c>
      <c r="CB59" s="1">
        <f t="shared" si="23"/>
        <v>382756.9311142962</v>
      </c>
      <c r="CC59" s="2">
        <v>0</v>
      </c>
      <c r="CD59" s="2">
        <v>2.8089887640449398E-3</v>
      </c>
      <c r="CE59" s="2">
        <f t="shared" si="24"/>
        <v>0</v>
      </c>
      <c r="CF59" s="2">
        <f t="shared" si="25"/>
        <v>0</v>
      </c>
      <c r="CG59" s="1">
        <f t="shared" si="26"/>
        <v>0</v>
      </c>
      <c r="CH59" s="2">
        <v>152181.76000000001</v>
      </c>
      <c r="CI59" s="2">
        <v>23602</v>
      </c>
      <c r="CJ59" s="1">
        <f t="shared" si="27"/>
        <v>2034540</v>
      </c>
      <c r="CK59" s="2">
        <f t="shared" si="28"/>
        <v>0</v>
      </c>
      <c r="CL59" s="2">
        <v>2946280.892</v>
      </c>
      <c r="CM59" s="22">
        <v>65516.669099999999</v>
      </c>
      <c r="CN59" s="22">
        <v>23602</v>
      </c>
      <c r="CO59" s="2">
        <f t="shared" si="29"/>
        <v>152181.76000000001</v>
      </c>
      <c r="CP59" s="2">
        <f t="shared" si="30"/>
        <v>2836013.8010999998</v>
      </c>
      <c r="CQ59" s="2">
        <v>353</v>
      </c>
      <c r="CR59" s="2">
        <f t="shared" si="31"/>
        <v>8034.0334308781867</v>
      </c>
      <c r="CS59" s="2">
        <f t="shared" si="32"/>
        <v>8047.6912877106797</v>
      </c>
      <c r="CT59" s="2">
        <f t="shared" si="33"/>
        <v>2864978.0984250018</v>
      </c>
      <c r="CU59" s="2">
        <f t="shared" si="34"/>
        <v>23602</v>
      </c>
      <c r="CV59" s="2">
        <f t="shared" si="35"/>
        <v>152181.76000000001</v>
      </c>
      <c r="CW59" s="2">
        <f t="shared" si="36"/>
        <v>3040761.8584250016</v>
      </c>
      <c r="CX59" s="1">
        <f t="shared" si="37"/>
        <v>28919.029930423829</v>
      </c>
      <c r="CY59" s="1">
        <f t="shared" si="38"/>
        <v>3040761.8584250016</v>
      </c>
      <c r="CZ59" s="2">
        <v>1</v>
      </c>
      <c r="DA59" s="2">
        <f t="shared" si="39"/>
        <v>4279.12</v>
      </c>
      <c r="DB59" s="2">
        <f t="shared" si="40"/>
        <v>1461.9999999999989</v>
      </c>
      <c r="DC59" s="2">
        <f t="shared" si="41"/>
        <v>1203.28</v>
      </c>
      <c r="DD59" s="2">
        <f t="shared" si="42"/>
        <v>1075.1200000000001</v>
      </c>
      <c r="DE59" s="2">
        <f t="shared" si="43"/>
        <v>3132.8</v>
      </c>
      <c r="DF59" s="2">
        <f t="shared" si="44"/>
        <v>9291.6</v>
      </c>
      <c r="DG59" s="1">
        <f t="shared" si="45"/>
        <v>20443.919999999998</v>
      </c>
      <c r="DH59" s="1">
        <f t="shared" si="46"/>
        <v>858856.9484945779</v>
      </c>
      <c r="DI59" s="9">
        <v>2</v>
      </c>
      <c r="DJ59" s="23">
        <v>0</v>
      </c>
      <c r="DK59" s="24">
        <v>0</v>
      </c>
      <c r="DL59" s="24">
        <v>0</v>
      </c>
      <c r="DM59" s="24">
        <v>0</v>
      </c>
      <c r="DN59" s="24">
        <v>0</v>
      </c>
      <c r="DO59" s="25">
        <v>0</v>
      </c>
      <c r="DP59" s="9">
        <v>0</v>
      </c>
      <c r="DQ59" s="9">
        <v>6000</v>
      </c>
      <c r="DR59" s="9">
        <v>0</v>
      </c>
      <c r="DS59" s="9" t="str">
        <f t="shared" si="47"/>
        <v>6773791</v>
      </c>
      <c r="DT59" s="9">
        <f t="shared" si="48"/>
        <v>81857.141999999993</v>
      </c>
      <c r="DU59" s="26"/>
      <c r="DV59" s="9"/>
      <c r="DW59" s="9"/>
      <c r="DX59" s="9">
        <v>3011842.8284945786</v>
      </c>
      <c r="DY59" s="9">
        <v>858856.94849457778</v>
      </c>
      <c r="DZ59" s="9">
        <v>3040761.8584250016</v>
      </c>
      <c r="EA59" s="9">
        <v>3040761.8584250016</v>
      </c>
      <c r="EB59" s="9">
        <v>20443.919999999998</v>
      </c>
      <c r="EC59" s="9">
        <v>3020317.9384250017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81857.141999999993</v>
      </c>
      <c r="EL59" s="9">
        <v>6000</v>
      </c>
      <c r="EM59" s="9">
        <v>0</v>
      </c>
      <c r="EN59" s="9">
        <v>3127620.8590639643</v>
      </c>
      <c r="EO59" s="9">
        <v>3132623.2267547604</v>
      </c>
      <c r="EP59" s="9">
        <f t="shared" si="63"/>
        <v>0</v>
      </c>
      <c r="EQ59" s="9">
        <f t="shared" si="49"/>
        <v>0</v>
      </c>
      <c r="ER59" s="9">
        <f t="shared" si="50"/>
        <v>0</v>
      </c>
      <c r="ES59" s="9">
        <f t="shared" si="51"/>
        <v>0</v>
      </c>
      <c r="ET59" s="9">
        <f t="shared" si="52"/>
        <v>0</v>
      </c>
      <c r="EU59" s="9">
        <f t="shared" si="53"/>
        <v>0</v>
      </c>
      <c r="EV59" s="9">
        <f t="shared" ref="EV59:FA59" si="319">ROUND(ED59-DJ59,0)</f>
        <v>0</v>
      </c>
      <c r="EW59" s="9">
        <f t="shared" si="319"/>
        <v>0</v>
      </c>
      <c r="EX59" s="9">
        <f t="shared" si="319"/>
        <v>0</v>
      </c>
      <c r="EY59" s="9">
        <f t="shared" si="319"/>
        <v>0</v>
      </c>
      <c r="EZ59" s="9">
        <f t="shared" si="319"/>
        <v>0</v>
      </c>
      <c r="FA59" s="9">
        <f t="shared" si="319"/>
        <v>0</v>
      </c>
      <c r="FB59" s="9">
        <f t="shared" si="55"/>
        <v>0</v>
      </c>
      <c r="FC59" s="9">
        <f t="shared" si="56"/>
        <v>0</v>
      </c>
      <c r="FD59" s="9">
        <f t="shared" si="57"/>
        <v>0</v>
      </c>
      <c r="FE59" s="9">
        <f t="shared" si="58"/>
        <v>0</v>
      </c>
      <c r="FF59" s="9"/>
      <c r="FG59" s="9"/>
      <c r="FH59" s="9"/>
      <c r="FI59" s="27"/>
      <c r="FJ59" s="21">
        <v>0</v>
      </c>
      <c r="FK59" s="21">
        <v>0</v>
      </c>
      <c r="FL59" s="21">
        <v>0</v>
      </c>
      <c r="FM59" s="21" t="e">
        <v>#N/A</v>
      </c>
      <c r="FN59" s="21">
        <v>0</v>
      </c>
      <c r="FO59" s="9"/>
    </row>
    <row r="60" spans="1:171">
      <c r="A60" s="2" t="s">
        <v>284</v>
      </c>
      <c r="B60" s="2">
        <v>100282</v>
      </c>
      <c r="C60" s="2">
        <v>2044641</v>
      </c>
      <c r="D60" s="2" t="s">
        <v>285</v>
      </c>
      <c r="E60" s="2">
        <v>481</v>
      </c>
      <c r="F60" s="2">
        <v>0</v>
      </c>
      <c r="G60" s="2">
        <v>0</v>
      </c>
      <c r="H60" s="2">
        <v>0</v>
      </c>
      <c r="I60" s="2">
        <v>481</v>
      </c>
      <c r="J60" s="2">
        <v>270</v>
      </c>
      <c r="K60" s="2">
        <v>211</v>
      </c>
      <c r="L60" s="2">
        <v>0</v>
      </c>
      <c r="M60" s="1">
        <f t="shared" si="5"/>
        <v>3224581</v>
      </c>
      <c r="N60" s="2">
        <v>0</v>
      </c>
      <c r="O60" s="2">
        <v>0.46777546777546802</v>
      </c>
      <c r="P60" s="2">
        <f t="shared" si="6"/>
        <v>0</v>
      </c>
      <c r="Q60" s="2">
        <f t="shared" si="7"/>
        <v>225.00000000000011</v>
      </c>
      <c r="R60" s="1">
        <f t="shared" si="8"/>
        <v>128403.00000000006</v>
      </c>
      <c r="S60" s="2">
        <v>0</v>
      </c>
      <c r="T60" s="2">
        <v>0.52598752598752596</v>
      </c>
      <c r="U60" s="2">
        <f t="shared" si="9"/>
        <v>0</v>
      </c>
      <c r="V60" s="2">
        <f t="shared" si="10"/>
        <v>253</v>
      </c>
      <c r="W60" s="1">
        <f t="shared" si="11"/>
        <v>309821.26999999996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f t="shared" ref="AD60:AI60" si="320">$F60*X60</f>
        <v>0</v>
      </c>
      <c r="AE60" s="2">
        <f t="shared" si="320"/>
        <v>0</v>
      </c>
      <c r="AF60" s="2">
        <f t="shared" si="320"/>
        <v>0</v>
      </c>
      <c r="AG60" s="2">
        <f t="shared" si="320"/>
        <v>0</v>
      </c>
      <c r="AH60" s="2">
        <f t="shared" si="320"/>
        <v>0</v>
      </c>
      <c r="AI60" s="2">
        <f t="shared" si="320"/>
        <v>0</v>
      </c>
      <c r="AJ60" s="1">
        <f t="shared" ref="AJ60:AO60" si="321">AD60*AJ$3</f>
        <v>0</v>
      </c>
      <c r="AK60" s="1">
        <f t="shared" si="321"/>
        <v>0</v>
      </c>
      <c r="AL60" s="1">
        <f t="shared" si="321"/>
        <v>0</v>
      </c>
      <c r="AM60" s="1">
        <f t="shared" si="321"/>
        <v>0</v>
      </c>
      <c r="AN60" s="1">
        <f t="shared" si="321"/>
        <v>0</v>
      </c>
      <c r="AO60" s="1">
        <f t="shared" si="321"/>
        <v>0</v>
      </c>
      <c r="AP60" s="2">
        <v>0.14137214137214099</v>
      </c>
      <c r="AQ60" s="2">
        <v>0.203742203742204</v>
      </c>
      <c r="AR60" s="2">
        <v>0.19542619542619499</v>
      </c>
      <c r="AS60" s="2">
        <v>0.14968814968815</v>
      </c>
      <c r="AT60" s="2">
        <v>0.14553014553014601</v>
      </c>
      <c r="AU60" s="2">
        <v>2.4948024948024901E-2</v>
      </c>
      <c r="AV60" s="2">
        <f t="shared" ref="AV60:BA60" si="322">$I60*AP60</f>
        <v>67.999999999999815</v>
      </c>
      <c r="AW60" s="2">
        <f t="shared" si="322"/>
        <v>98.000000000000128</v>
      </c>
      <c r="AX60" s="2">
        <f t="shared" si="322"/>
        <v>93.999999999999787</v>
      </c>
      <c r="AY60" s="2">
        <f t="shared" si="322"/>
        <v>72.000000000000156</v>
      </c>
      <c r="AZ60" s="2">
        <f t="shared" si="322"/>
        <v>70.000000000000227</v>
      </c>
      <c r="BA60" s="2">
        <f t="shared" si="322"/>
        <v>11.999999999999977</v>
      </c>
      <c r="BB60" s="1">
        <f t="shared" ref="BB60:BG60" si="323">AV60*BB$4</f>
        <v>27083.719999999928</v>
      </c>
      <c r="BC60" s="1">
        <f t="shared" si="323"/>
        <v>51848.860000000073</v>
      </c>
      <c r="BD60" s="1">
        <f t="shared" si="323"/>
        <v>69290.219999999841</v>
      </c>
      <c r="BE60" s="1">
        <f t="shared" si="323"/>
        <v>58209.840000000127</v>
      </c>
      <c r="BF60" s="1">
        <f t="shared" si="323"/>
        <v>60753.700000000194</v>
      </c>
      <c r="BG60" s="1">
        <f t="shared" si="323"/>
        <v>13268.399999999974</v>
      </c>
      <c r="BH60" s="1">
        <f t="shared" si="16"/>
        <v>280454.74000000011</v>
      </c>
      <c r="BI60" s="2">
        <v>0</v>
      </c>
      <c r="BJ60" s="2">
        <v>7.4844074844074807E-2</v>
      </c>
      <c r="BK60" s="2">
        <f t="shared" si="17"/>
        <v>0</v>
      </c>
      <c r="BL60" s="2">
        <f t="shared" si="18"/>
        <v>35.999999999999979</v>
      </c>
      <c r="BM60" s="1">
        <f t="shared" si="19"/>
        <v>66983.759999999966</v>
      </c>
      <c r="BN60" s="2">
        <v>0</v>
      </c>
      <c r="BO60" s="2">
        <f t="shared" si="20"/>
        <v>0</v>
      </c>
      <c r="BP60" s="2">
        <v>70</v>
      </c>
      <c r="BQ60" s="2">
        <v>83</v>
      </c>
      <c r="BR60" s="2">
        <v>117</v>
      </c>
      <c r="BS60" s="2">
        <v>110</v>
      </c>
      <c r="BT60" s="2">
        <v>101</v>
      </c>
      <c r="BU60" s="2">
        <v>0.44444444444444398</v>
      </c>
      <c r="BV60" s="2">
        <v>0.44318181818181801</v>
      </c>
      <c r="BW60" s="2">
        <v>0.44318181818181801</v>
      </c>
      <c r="BX60" s="2">
        <v>0.44318181818181801</v>
      </c>
      <c r="BY60" s="2">
        <v>0.26881720430107497</v>
      </c>
      <c r="BZ60" s="2">
        <f t="shared" si="21"/>
        <v>0.25542894340993921</v>
      </c>
      <c r="CA60" s="2">
        <f t="shared" si="22"/>
        <v>122.86132178018076</v>
      </c>
      <c r="CB60" s="1">
        <f t="shared" si="23"/>
        <v>255626.4947090619</v>
      </c>
      <c r="CC60" s="2">
        <v>0</v>
      </c>
      <c r="CD60" s="2">
        <v>4.9896049896049899E-2</v>
      </c>
      <c r="CE60" s="2">
        <f t="shared" si="24"/>
        <v>0</v>
      </c>
      <c r="CF60" s="2">
        <f t="shared" si="25"/>
        <v>0</v>
      </c>
      <c r="CG60" s="1">
        <f t="shared" si="26"/>
        <v>0</v>
      </c>
      <c r="CH60" s="2">
        <v>152181.76000000001</v>
      </c>
      <c r="CI60" s="2">
        <v>49941</v>
      </c>
      <c r="CJ60" s="1">
        <f t="shared" si="27"/>
        <v>2748915</v>
      </c>
      <c r="CK60" s="2">
        <f t="shared" si="28"/>
        <v>0</v>
      </c>
      <c r="CL60" s="2">
        <v>4833020.0766000003</v>
      </c>
      <c r="CM60" s="22">
        <v>138259.85140000001</v>
      </c>
      <c r="CN60" s="22">
        <v>49941</v>
      </c>
      <c r="CO60" s="2">
        <f t="shared" si="29"/>
        <v>152181.76000000001</v>
      </c>
      <c r="CP60" s="2">
        <f t="shared" si="30"/>
        <v>4769157.1680000005</v>
      </c>
      <c r="CQ60" s="2">
        <v>540</v>
      </c>
      <c r="CR60" s="2">
        <f t="shared" si="31"/>
        <v>8831.7725333333346</v>
      </c>
      <c r="CS60" s="2">
        <f t="shared" si="32"/>
        <v>8846.7865466400017</v>
      </c>
      <c r="CT60" s="2">
        <f t="shared" si="33"/>
        <v>4255304.3289338406</v>
      </c>
      <c r="CU60" s="2">
        <f t="shared" si="34"/>
        <v>49941</v>
      </c>
      <c r="CV60" s="2">
        <f t="shared" si="35"/>
        <v>152181.76000000001</v>
      </c>
      <c r="CW60" s="2">
        <f t="shared" si="36"/>
        <v>4457427.0889338404</v>
      </c>
      <c r="CX60" s="1">
        <f t="shared" si="37"/>
        <v>0</v>
      </c>
      <c r="CY60" s="1">
        <f t="shared" si="38"/>
        <v>4467993.0247090617</v>
      </c>
      <c r="CZ60" s="2">
        <v>1</v>
      </c>
      <c r="DA60" s="2">
        <f t="shared" si="39"/>
        <v>5781.62</v>
      </c>
      <c r="DB60" s="2">
        <f t="shared" si="40"/>
        <v>3095.9999999999982</v>
      </c>
      <c r="DC60" s="2">
        <f t="shared" si="41"/>
        <v>1625.78</v>
      </c>
      <c r="DD60" s="2">
        <f t="shared" si="42"/>
        <v>1452.6200000000001</v>
      </c>
      <c r="DE60" s="2">
        <f t="shared" si="43"/>
        <v>4232.8</v>
      </c>
      <c r="DF60" s="2">
        <f t="shared" si="44"/>
        <v>12554.1</v>
      </c>
      <c r="DG60" s="1">
        <f t="shared" si="45"/>
        <v>28742.92</v>
      </c>
      <c r="DH60" s="1">
        <f t="shared" si="46"/>
        <v>1461065.0347090622</v>
      </c>
      <c r="DI60" s="9">
        <v>2</v>
      </c>
      <c r="DJ60" s="23">
        <v>0</v>
      </c>
      <c r="DK60" s="24">
        <v>0</v>
      </c>
      <c r="DL60" s="24">
        <v>0</v>
      </c>
      <c r="DM60" s="24">
        <v>0</v>
      </c>
      <c r="DN60" s="24">
        <v>0</v>
      </c>
      <c r="DO60" s="25">
        <v>0</v>
      </c>
      <c r="DP60" s="9">
        <v>0</v>
      </c>
      <c r="DQ60" s="9">
        <v>76728</v>
      </c>
      <c r="DR60" s="9">
        <v>0</v>
      </c>
      <c r="DS60" s="9" t="str">
        <f t="shared" si="47"/>
        <v>6824312</v>
      </c>
      <c r="DT60" s="9">
        <f t="shared" si="48"/>
        <v>152676.35071999999</v>
      </c>
      <c r="DU60" s="26"/>
      <c r="DV60" s="9"/>
      <c r="DW60" s="9"/>
      <c r="DX60" s="9">
        <v>4467993.0247090608</v>
      </c>
      <c r="DY60" s="9">
        <v>1461065.0347090622</v>
      </c>
      <c r="DZ60" s="9">
        <v>4457427.0889338404</v>
      </c>
      <c r="EA60" s="9">
        <v>4467993.0247090608</v>
      </c>
      <c r="EB60" s="9">
        <v>28742.92</v>
      </c>
      <c r="EC60" s="9">
        <v>4439250.1047090609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152676.35071999999</v>
      </c>
      <c r="EL60" s="9">
        <v>76728</v>
      </c>
      <c r="EM60" s="9">
        <v>0</v>
      </c>
      <c r="EN60" s="9">
        <v>4628173.1434055297</v>
      </c>
      <c r="EO60" s="9">
        <v>4635681.6736797066</v>
      </c>
      <c r="EP60" s="9">
        <f t="shared" si="63"/>
        <v>0</v>
      </c>
      <c r="EQ60" s="9">
        <f t="shared" si="49"/>
        <v>0</v>
      </c>
      <c r="ER60" s="9">
        <f t="shared" si="50"/>
        <v>0</v>
      </c>
      <c r="ES60" s="9">
        <f t="shared" si="51"/>
        <v>0</v>
      </c>
      <c r="ET60" s="9">
        <f t="shared" si="52"/>
        <v>0</v>
      </c>
      <c r="EU60" s="9">
        <f t="shared" si="53"/>
        <v>0</v>
      </c>
      <c r="EV60" s="9">
        <f t="shared" ref="EV60:FA60" si="324">ROUND(ED60-DJ60,0)</f>
        <v>0</v>
      </c>
      <c r="EW60" s="9">
        <f t="shared" si="324"/>
        <v>0</v>
      </c>
      <c r="EX60" s="9">
        <f t="shared" si="324"/>
        <v>0</v>
      </c>
      <c r="EY60" s="9">
        <f t="shared" si="324"/>
        <v>0</v>
      </c>
      <c r="EZ60" s="9">
        <f t="shared" si="324"/>
        <v>0</v>
      </c>
      <c r="FA60" s="9">
        <f t="shared" si="324"/>
        <v>0</v>
      </c>
      <c r="FB60" s="9">
        <f t="shared" si="55"/>
        <v>0</v>
      </c>
      <c r="FC60" s="9">
        <f t="shared" si="56"/>
        <v>0</v>
      </c>
      <c r="FD60" s="9">
        <f t="shared" si="57"/>
        <v>0</v>
      </c>
      <c r="FE60" s="9">
        <f t="shared" si="58"/>
        <v>0</v>
      </c>
      <c r="FF60" s="9"/>
      <c r="FG60" s="9"/>
      <c r="FH60" s="9"/>
      <c r="FI60" s="27"/>
      <c r="FJ60" s="21">
        <v>0</v>
      </c>
      <c r="FK60" s="21">
        <v>0</v>
      </c>
      <c r="FL60" s="21">
        <v>0</v>
      </c>
      <c r="FM60" s="21" t="e">
        <v>#N/A</v>
      </c>
      <c r="FN60" s="21">
        <v>0</v>
      </c>
      <c r="FO60" s="9"/>
    </row>
    <row r="61" spans="1:171">
      <c r="A61" s="2" t="s">
        <v>286</v>
      </c>
      <c r="B61" s="2">
        <v>100284</v>
      </c>
      <c r="C61" s="2">
        <v>2044697</v>
      </c>
      <c r="D61" s="2" t="s">
        <v>287</v>
      </c>
      <c r="E61" s="2">
        <v>779</v>
      </c>
      <c r="F61" s="2">
        <v>0</v>
      </c>
      <c r="G61" s="2">
        <v>0</v>
      </c>
      <c r="H61" s="2">
        <v>0</v>
      </c>
      <c r="I61" s="2">
        <v>779</v>
      </c>
      <c r="J61" s="2">
        <v>484</v>
      </c>
      <c r="K61" s="2">
        <v>295</v>
      </c>
      <c r="L61" s="2">
        <v>0</v>
      </c>
      <c r="M61" s="1">
        <f t="shared" si="5"/>
        <v>5200947</v>
      </c>
      <c r="N61" s="2">
        <v>0</v>
      </c>
      <c r="O61" s="2">
        <v>0.686777920410783</v>
      </c>
      <c r="P61" s="2">
        <f t="shared" si="6"/>
        <v>0</v>
      </c>
      <c r="Q61" s="2">
        <f t="shared" si="7"/>
        <v>535</v>
      </c>
      <c r="R61" s="1">
        <f t="shared" si="8"/>
        <v>305313.8</v>
      </c>
      <c r="S61" s="2">
        <v>0</v>
      </c>
      <c r="T61" s="2">
        <v>0.70988446726572496</v>
      </c>
      <c r="U61" s="2">
        <f t="shared" si="9"/>
        <v>0</v>
      </c>
      <c r="V61" s="2">
        <f t="shared" si="10"/>
        <v>552.99999999999977</v>
      </c>
      <c r="W61" s="1">
        <f t="shared" si="11"/>
        <v>677198.26999999967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f t="shared" ref="AD61:AI61" si="325">$F61*X61</f>
        <v>0</v>
      </c>
      <c r="AE61" s="2">
        <f t="shared" si="325"/>
        <v>0</v>
      </c>
      <c r="AF61" s="2">
        <f t="shared" si="325"/>
        <v>0</v>
      </c>
      <c r="AG61" s="2">
        <f t="shared" si="325"/>
        <v>0</v>
      </c>
      <c r="AH61" s="2">
        <f t="shared" si="325"/>
        <v>0</v>
      </c>
      <c r="AI61" s="2">
        <f t="shared" si="325"/>
        <v>0</v>
      </c>
      <c r="AJ61" s="1">
        <f t="shared" ref="AJ61:AO61" si="326">AD61*AJ$3</f>
        <v>0</v>
      </c>
      <c r="AK61" s="1">
        <f t="shared" si="326"/>
        <v>0</v>
      </c>
      <c r="AL61" s="1">
        <f t="shared" si="326"/>
        <v>0</v>
      </c>
      <c r="AM61" s="1">
        <f t="shared" si="326"/>
        <v>0</v>
      </c>
      <c r="AN61" s="1">
        <f t="shared" si="326"/>
        <v>0</v>
      </c>
      <c r="AO61" s="1">
        <f t="shared" si="326"/>
        <v>0</v>
      </c>
      <c r="AP61" s="2">
        <v>0.14543114543114499</v>
      </c>
      <c r="AQ61" s="2">
        <v>0.22393822393822399</v>
      </c>
      <c r="AR61" s="2">
        <v>0.13642213642213599</v>
      </c>
      <c r="AS61" s="2">
        <v>0.177606177606178</v>
      </c>
      <c r="AT61" s="2">
        <v>0.22522522522522501</v>
      </c>
      <c r="AU61" s="2">
        <v>4.3758043758043798E-2</v>
      </c>
      <c r="AV61" s="2">
        <f t="shared" ref="AV61:BA61" si="327">$I61*AP61</f>
        <v>113.29086229086195</v>
      </c>
      <c r="AW61" s="2">
        <f t="shared" si="327"/>
        <v>174.4478764478765</v>
      </c>
      <c r="AX61" s="2">
        <f t="shared" si="327"/>
        <v>106.27284427284394</v>
      </c>
      <c r="AY61" s="2">
        <f t="shared" si="327"/>
        <v>138.35521235521267</v>
      </c>
      <c r="AZ61" s="2">
        <f t="shared" si="327"/>
        <v>175.45045045045029</v>
      </c>
      <c r="BA61" s="2">
        <f t="shared" si="327"/>
        <v>34.087516087516121</v>
      </c>
      <c r="BB61" s="1">
        <f t="shared" ref="BB61:BG61" si="328">AV61*BB$4</f>
        <v>45122.617541827407</v>
      </c>
      <c r="BC61" s="1">
        <f t="shared" si="328"/>
        <v>92295.137992278032</v>
      </c>
      <c r="BD61" s="1">
        <f t="shared" si="328"/>
        <v>78336.901698841451</v>
      </c>
      <c r="BE61" s="1">
        <f t="shared" si="328"/>
        <v>111856.0385328188</v>
      </c>
      <c r="BF61" s="1">
        <f t="shared" si="328"/>
        <v>152275.2004504503</v>
      </c>
      <c r="BG61" s="1">
        <f t="shared" si="328"/>
        <v>37690.566537966573</v>
      </c>
      <c r="BH61" s="1">
        <f t="shared" si="16"/>
        <v>517576.46275418252</v>
      </c>
      <c r="BI61" s="2">
        <v>0</v>
      </c>
      <c r="BJ61" s="2">
        <v>2.4390243902439001E-2</v>
      </c>
      <c r="BK61" s="2">
        <f t="shared" si="17"/>
        <v>0</v>
      </c>
      <c r="BL61" s="2">
        <f t="shared" si="18"/>
        <v>18.999999999999982</v>
      </c>
      <c r="BM61" s="1">
        <f t="shared" si="19"/>
        <v>35352.539999999972</v>
      </c>
      <c r="BN61" s="2">
        <v>0</v>
      </c>
      <c r="BO61" s="2">
        <f t="shared" si="20"/>
        <v>0</v>
      </c>
      <c r="BP61" s="2">
        <v>166</v>
      </c>
      <c r="BQ61" s="2">
        <v>160</v>
      </c>
      <c r="BR61" s="2">
        <v>158</v>
      </c>
      <c r="BS61" s="2">
        <v>155</v>
      </c>
      <c r="BT61" s="2">
        <v>140</v>
      </c>
      <c r="BU61" s="2">
        <v>0.457317073170732</v>
      </c>
      <c r="BV61" s="2">
        <v>0.46405228758169897</v>
      </c>
      <c r="BW61" s="2">
        <v>0.46405228758169897</v>
      </c>
      <c r="BX61" s="2">
        <v>0.46405228758169897</v>
      </c>
      <c r="BY61" s="2">
        <v>0.41935483870967699</v>
      </c>
      <c r="BZ61" s="2">
        <f t="shared" si="21"/>
        <v>0.28281903957990073</v>
      </c>
      <c r="CA61" s="2">
        <f t="shared" si="22"/>
        <v>220.31603183274268</v>
      </c>
      <c r="CB61" s="1">
        <f t="shared" si="23"/>
        <v>458391.73899152275</v>
      </c>
      <c r="CC61" s="2">
        <v>0</v>
      </c>
      <c r="CD61" s="2">
        <v>1.15532734274711E-2</v>
      </c>
      <c r="CE61" s="2">
        <f t="shared" si="24"/>
        <v>0</v>
      </c>
      <c r="CF61" s="2">
        <f t="shared" si="25"/>
        <v>0</v>
      </c>
      <c r="CG61" s="1">
        <f t="shared" si="26"/>
        <v>0</v>
      </c>
      <c r="CH61" s="2">
        <v>152181.76000000001</v>
      </c>
      <c r="CI61" s="2">
        <v>25613</v>
      </c>
      <c r="CJ61" s="1">
        <f t="shared" si="27"/>
        <v>4451985</v>
      </c>
      <c r="CK61" s="2">
        <f t="shared" si="28"/>
        <v>0</v>
      </c>
      <c r="CL61" s="2">
        <v>7174289.6522000004</v>
      </c>
      <c r="CM61" s="22">
        <v>220465.59039999999</v>
      </c>
      <c r="CN61" s="22">
        <v>25613</v>
      </c>
      <c r="CO61" s="2">
        <f t="shared" si="29"/>
        <v>152181.76000000001</v>
      </c>
      <c r="CP61" s="2">
        <f t="shared" si="30"/>
        <v>7216960.4826000007</v>
      </c>
      <c r="CQ61" s="2">
        <v>784</v>
      </c>
      <c r="CR61" s="2">
        <f t="shared" si="31"/>
        <v>9205.3067380102057</v>
      </c>
      <c r="CS61" s="2">
        <f t="shared" si="32"/>
        <v>9220.9557594648231</v>
      </c>
      <c r="CT61" s="2">
        <f t="shared" si="33"/>
        <v>7183124.536623097</v>
      </c>
      <c r="CU61" s="2">
        <f t="shared" si="34"/>
        <v>25613</v>
      </c>
      <c r="CV61" s="2">
        <f t="shared" si="35"/>
        <v>152181.76000000001</v>
      </c>
      <c r="CW61" s="2">
        <f t="shared" si="36"/>
        <v>7360919.2966230968</v>
      </c>
      <c r="CX61" s="1">
        <f t="shared" si="37"/>
        <v>0</v>
      </c>
      <c r="CY61" s="1">
        <f t="shared" si="38"/>
        <v>7372574.5717457049</v>
      </c>
      <c r="CZ61" s="2">
        <v>1</v>
      </c>
      <c r="DA61" s="2">
        <f t="shared" si="39"/>
        <v>9363.58</v>
      </c>
      <c r="DB61" s="2">
        <f t="shared" si="40"/>
        <v>1633.9999999999984</v>
      </c>
      <c r="DC61" s="2">
        <f t="shared" si="41"/>
        <v>2633.02</v>
      </c>
      <c r="DD61" s="2">
        <f t="shared" si="42"/>
        <v>2352.58</v>
      </c>
      <c r="DE61" s="2">
        <f t="shared" si="43"/>
        <v>6855.2000000000007</v>
      </c>
      <c r="DF61" s="2">
        <f t="shared" si="44"/>
        <v>20331.900000000001</v>
      </c>
      <c r="DG61" s="1">
        <f t="shared" si="45"/>
        <v>43170.28</v>
      </c>
      <c r="DH61" s="1">
        <f t="shared" si="46"/>
        <v>2572680.001745705</v>
      </c>
      <c r="DI61" s="9">
        <v>2</v>
      </c>
      <c r="DJ61" s="23">
        <v>0</v>
      </c>
      <c r="DK61" s="24">
        <v>0</v>
      </c>
      <c r="DL61" s="24">
        <v>0</v>
      </c>
      <c r="DM61" s="24">
        <v>0</v>
      </c>
      <c r="DN61" s="24">
        <v>0</v>
      </c>
      <c r="DO61" s="25">
        <v>0</v>
      </c>
      <c r="DP61" s="9">
        <v>0</v>
      </c>
      <c r="DQ61" s="9">
        <v>153732</v>
      </c>
      <c r="DR61" s="9">
        <v>0</v>
      </c>
      <c r="DS61" s="9" t="str">
        <f t="shared" si="47"/>
        <v>6571007</v>
      </c>
      <c r="DT61" s="9">
        <f t="shared" si="48"/>
        <v>268610.31775999995</v>
      </c>
      <c r="DU61" s="26"/>
      <c r="DV61" s="9"/>
      <c r="DW61" s="9"/>
      <c r="DX61" s="9">
        <v>7372574.5717457049</v>
      </c>
      <c r="DY61" s="9">
        <v>2572680.001745705</v>
      </c>
      <c r="DZ61" s="9">
        <v>7360919.2966230968</v>
      </c>
      <c r="EA61" s="9">
        <v>7372574.5717457049</v>
      </c>
      <c r="EB61" s="9">
        <v>43170.28</v>
      </c>
      <c r="EC61" s="9">
        <v>7329404.2917457046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268610.31775999995</v>
      </c>
      <c r="EL61" s="9">
        <v>153732</v>
      </c>
      <c r="EM61" s="9">
        <v>0</v>
      </c>
      <c r="EN61" s="9">
        <v>7653864.8914561048</v>
      </c>
      <c r="EO61" s="9">
        <v>7666558.4553019684</v>
      </c>
      <c r="EP61" s="9">
        <f t="shared" si="63"/>
        <v>0</v>
      </c>
      <c r="EQ61" s="9">
        <f t="shared" si="49"/>
        <v>0</v>
      </c>
      <c r="ER61" s="9">
        <f t="shared" si="50"/>
        <v>0</v>
      </c>
      <c r="ES61" s="9">
        <f t="shared" si="51"/>
        <v>0</v>
      </c>
      <c r="ET61" s="9">
        <f t="shared" si="52"/>
        <v>0</v>
      </c>
      <c r="EU61" s="9">
        <f t="shared" si="53"/>
        <v>0</v>
      </c>
      <c r="EV61" s="9">
        <f t="shared" ref="EV61:FA61" si="329">ROUND(ED61-DJ61,0)</f>
        <v>0</v>
      </c>
      <c r="EW61" s="9">
        <f t="shared" si="329"/>
        <v>0</v>
      </c>
      <c r="EX61" s="9">
        <f t="shared" si="329"/>
        <v>0</v>
      </c>
      <c r="EY61" s="9">
        <f t="shared" si="329"/>
        <v>0</v>
      </c>
      <c r="EZ61" s="9">
        <f t="shared" si="329"/>
        <v>0</v>
      </c>
      <c r="FA61" s="9">
        <f t="shared" si="329"/>
        <v>0</v>
      </c>
      <c r="FB61" s="9">
        <f t="shared" si="55"/>
        <v>0</v>
      </c>
      <c r="FC61" s="9">
        <f t="shared" si="56"/>
        <v>0</v>
      </c>
      <c r="FD61" s="9">
        <f t="shared" si="57"/>
        <v>0</v>
      </c>
      <c r="FE61" s="9">
        <f t="shared" si="58"/>
        <v>0</v>
      </c>
      <c r="FF61" s="9"/>
      <c r="FG61" s="9"/>
      <c r="FH61" s="9"/>
      <c r="FI61" s="27"/>
      <c r="FJ61" s="21">
        <v>0</v>
      </c>
      <c r="FK61" s="21">
        <v>0</v>
      </c>
      <c r="FL61" s="21">
        <v>0</v>
      </c>
      <c r="FM61" s="21" t="e">
        <v>#N/A</v>
      </c>
      <c r="FN61" s="21">
        <v>0</v>
      </c>
      <c r="FO61" s="9"/>
    </row>
    <row r="62" spans="1:171">
      <c r="A62" s="2" t="s">
        <v>288</v>
      </c>
      <c r="B62" s="2">
        <v>100285</v>
      </c>
      <c r="C62" s="2">
        <v>2044714</v>
      </c>
      <c r="D62" s="2" t="s">
        <v>289</v>
      </c>
      <c r="E62" s="2">
        <v>880</v>
      </c>
      <c r="F62" s="2">
        <v>0</v>
      </c>
      <c r="G62" s="2">
        <v>0</v>
      </c>
      <c r="H62" s="2">
        <v>0</v>
      </c>
      <c r="I62" s="2">
        <v>880</v>
      </c>
      <c r="J62" s="2">
        <v>537</v>
      </c>
      <c r="K62" s="2">
        <v>343</v>
      </c>
      <c r="L62" s="2">
        <v>0</v>
      </c>
      <c r="M62" s="1">
        <f t="shared" si="5"/>
        <v>5879734</v>
      </c>
      <c r="N62" s="2">
        <v>0</v>
      </c>
      <c r="O62" s="2">
        <v>0.52613636363636396</v>
      </c>
      <c r="P62" s="2">
        <f t="shared" si="6"/>
        <v>0</v>
      </c>
      <c r="Q62" s="2">
        <f t="shared" si="7"/>
        <v>463.00000000000028</v>
      </c>
      <c r="R62" s="1">
        <f t="shared" si="8"/>
        <v>264224.84000000014</v>
      </c>
      <c r="S62" s="2">
        <v>0</v>
      </c>
      <c r="T62" s="2">
        <v>0.57499999999999996</v>
      </c>
      <c r="U62" s="2">
        <f t="shared" si="9"/>
        <v>0</v>
      </c>
      <c r="V62" s="2">
        <f t="shared" si="10"/>
        <v>505.99999999999994</v>
      </c>
      <c r="W62" s="1">
        <f t="shared" si="11"/>
        <v>619642.53999999992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f t="shared" ref="AD62:AI62" si="330">$F62*X62</f>
        <v>0</v>
      </c>
      <c r="AE62" s="2">
        <f t="shared" si="330"/>
        <v>0</v>
      </c>
      <c r="AF62" s="2">
        <f t="shared" si="330"/>
        <v>0</v>
      </c>
      <c r="AG62" s="2">
        <f t="shared" si="330"/>
        <v>0</v>
      </c>
      <c r="AH62" s="2">
        <f t="shared" si="330"/>
        <v>0</v>
      </c>
      <c r="AI62" s="2">
        <f t="shared" si="330"/>
        <v>0</v>
      </c>
      <c r="AJ62" s="1">
        <f t="shared" ref="AJ62:AO62" si="331">AD62*AJ$3</f>
        <v>0</v>
      </c>
      <c r="AK62" s="1">
        <f t="shared" si="331"/>
        <v>0</v>
      </c>
      <c r="AL62" s="1">
        <f t="shared" si="331"/>
        <v>0</v>
      </c>
      <c r="AM62" s="1">
        <f t="shared" si="331"/>
        <v>0</v>
      </c>
      <c r="AN62" s="1">
        <f t="shared" si="331"/>
        <v>0</v>
      </c>
      <c r="AO62" s="1">
        <f t="shared" si="331"/>
        <v>0</v>
      </c>
      <c r="AP62" s="2">
        <v>0.1</v>
      </c>
      <c r="AQ62" s="2">
        <v>0.18181818181818199</v>
      </c>
      <c r="AR62" s="2">
        <v>0.14090909090909101</v>
      </c>
      <c r="AS62" s="2">
        <v>0.229545454545455</v>
      </c>
      <c r="AT62" s="2">
        <v>0.22386363636363599</v>
      </c>
      <c r="AU62" s="2">
        <v>6.4772727272727301E-2</v>
      </c>
      <c r="AV62" s="2">
        <f t="shared" ref="AV62:BA62" si="332">$I62*AP62</f>
        <v>88</v>
      </c>
      <c r="AW62" s="2">
        <f t="shared" si="332"/>
        <v>160.00000000000014</v>
      </c>
      <c r="AX62" s="2">
        <f t="shared" si="332"/>
        <v>124.00000000000009</v>
      </c>
      <c r="AY62" s="2">
        <f t="shared" si="332"/>
        <v>202.0000000000004</v>
      </c>
      <c r="AZ62" s="2">
        <f t="shared" si="332"/>
        <v>196.99999999999966</v>
      </c>
      <c r="BA62" s="2">
        <f t="shared" si="332"/>
        <v>57.000000000000028</v>
      </c>
      <c r="BB62" s="1">
        <f t="shared" ref="BB62:BG62" si="333">AV62*BB$4</f>
        <v>35049.520000000004</v>
      </c>
      <c r="BC62" s="1">
        <f t="shared" si="333"/>
        <v>84651.200000000084</v>
      </c>
      <c r="BD62" s="1">
        <f t="shared" si="333"/>
        <v>91404.120000000068</v>
      </c>
      <c r="BE62" s="1">
        <f t="shared" si="333"/>
        <v>163310.94000000032</v>
      </c>
      <c r="BF62" s="1">
        <f t="shared" si="333"/>
        <v>170978.2699999997</v>
      </c>
      <c r="BG62" s="1">
        <f t="shared" si="333"/>
        <v>63024.900000000031</v>
      </c>
      <c r="BH62" s="1">
        <f t="shared" si="16"/>
        <v>608418.95000000019</v>
      </c>
      <c r="BI62" s="2">
        <v>0</v>
      </c>
      <c r="BJ62" s="2">
        <v>2.7617951668584599E-2</v>
      </c>
      <c r="BK62" s="2">
        <f t="shared" si="17"/>
        <v>0</v>
      </c>
      <c r="BL62" s="2">
        <f t="shared" si="18"/>
        <v>24.303797468354446</v>
      </c>
      <c r="BM62" s="1">
        <f t="shared" si="19"/>
        <v>45221.103797468386</v>
      </c>
      <c r="BN62" s="2">
        <v>0</v>
      </c>
      <c r="BO62" s="2">
        <f t="shared" si="20"/>
        <v>0</v>
      </c>
      <c r="BP62" s="2">
        <v>182</v>
      </c>
      <c r="BQ62" s="2">
        <v>179</v>
      </c>
      <c r="BR62" s="2">
        <v>176</v>
      </c>
      <c r="BS62" s="2">
        <v>171</v>
      </c>
      <c r="BT62" s="2">
        <v>172</v>
      </c>
      <c r="BU62" s="2">
        <v>0.375</v>
      </c>
      <c r="BV62" s="2">
        <v>0.373417721518987</v>
      </c>
      <c r="BW62" s="2">
        <v>0.373417721518987</v>
      </c>
      <c r="BX62" s="2">
        <v>0.373417721518987</v>
      </c>
      <c r="BY62" s="2">
        <v>0.355263157894737</v>
      </c>
      <c r="BZ62" s="2">
        <f t="shared" si="21"/>
        <v>0.23042292645315615</v>
      </c>
      <c r="CA62" s="2">
        <f t="shared" si="22"/>
        <v>202.77217527877741</v>
      </c>
      <c r="CB62" s="1">
        <f t="shared" si="23"/>
        <v>421889.81560677709</v>
      </c>
      <c r="CC62" s="2">
        <v>0</v>
      </c>
      <c r="CD62" s="2">
        <v>3.0716723549488099E-2</v>
      </c>
      <c r="CE62" s="2">
        <f t="shared" si="24"/>
        <v>0</v>
      </c>
      <c r="CF62" s="2">
        <f t="shared" si="25"/>
        <v>0</v>
      </c>
      <c r="CG62" s="1">
        <f t="shared" si="26"/>
        <v>0</v>
      </c>
      <c r="CH62" s="2">
        <v>152181.76000000001</v>
      </c>
      <c r="CI62" s="2">
        <v>66112</v>
      </c>
      <c r="CJ62" s="1">
        <f t="shared" si="27"/>
        <v>5029200</v>
      </c>
      <c r="CK62" s="2">
        <f t="shared" si="28"/>
        <v>0</v>
      </c>
      <c r="CL62" s="2">
        <v>7759750.5844000001</v>
      </c>
      <c r="CM62" s="22">
        <v>229240.13370000001</v>
      </c>
      <c r="CN62" s="22">
        <v>66112</v>
      </c>
      <c r="CO62" s="2">
        <f t="shared" si="29"/>
        <v>152181.76000000001</v>
      </c>
      <c r="CP62" s="2">
        <f t="shared" si="30"/>
        <v>7770696.9581000004</v>
      </c>
      <c r="CQ62" s="2">
        <v>871</v>
      </c>
      <c r="CR62" s="2">
        <f t="shared" si="31"/>
        <v>8921.580893340988</v>
      </c>
      <c r="CS62" s="2">
        <f t="shared" si="32"/>
        <v>8936.7475808596682</v>
      </c>
      <c r="CT62" s="2">
        <f t="shared" si="33"/>
        <v>7864337.8711565081</v>
      </c>
      <c r="CU62" s="2">
        <f t="shared" si="34"/>
        <v>66112</v>
      </c>
      <c r="CV62" s="2">
        <f t="shared" si="35"/>
        <v>152181.76000000001</v>
      </c>
      <c r="CW62" s="2">
        <f t="shared" si="36"/>
        <v>8082631.6311565079</v>
      </c>
      <c r="CX62" s="1">
        <f t="shared" si="37"/>
        <v>25206.621752262348</v>
      </c>
      <c r="CY62" s="1">
        <f t="shared" si="38"/>
        <v>8082631.6311565079</v>
      </c>
      <c r="CZ62" s="2">
        <v>1</v>
      </c>
      <c r="DA62" s="2">
        <f t="shared" si="39"/>
        <v>10577.6</v>
      </c>
      <c r="DB62" s="2">
        <f t="shared" si="40"/>
        <v>2090.1265822784826</v>
      </c>
      <c r="DC62" s="2">
        <f t="shared" si="41"/>
        <v>2974.4</v>
      </c>
      <c r="DD62" s="2">
        <f t="shared" si="42"/>
        <v>2657.6</v>
      </c>
      <c r="DE62" s="2">
        <f t="shared" si="43"/>
        <v>7744.0000000000009</v>
      </c>
      <c r="DF62" s="2">
        <f t="shared" si="44"/>
        <v>22968</v>
      </c>
      <c r="DG62" s="1">
        <f t="shared" si="45"/>
        <v>49011.726582278483</v>
      </c>
      <c r="DH62" s="1">
        <f t="shared" si="46"/>
        <v>2694727.1894042455</v>
      </c>
      <c r="DI62" s="9">
        <v>2</v>
      </c>
      <c r="DJ62" s="31">
        <v>0</v>
      </c>
      <c r="DK62" s="32">
        <v>0</v>
      </c>
      <c r="DL62" s="32">
        <v>0</v>
      </c>
      <c r="DM62" s="32">
        <v>0</v>
      </c>
      <c r="DN62" s="32">
        <v>0</v>
      </c>
      <c r="DO62" s="33">
        <v>0</v>
      </c>
      <c r="DP62" s="9">
        <v>0</v>
      </c>
      <c r="DQ62" s="9">
        <v>142416</v>
      </c>
      <c r="DR62" s="9">
        <v>0</v>
      </c>
      <c r="DS62" s="9" t="str">
        <f t="shared" si="47"/>
        <v>7910754</v>
      </c>
      <c r="DT62" s="9">
        <f t="shared" si="48"/>
        <v>281545.76736</v>
      </c>
      <c r="DU62" s="26"/>
      <c r="DV62" s="9"/>
      <c r="DW62" s="9"/>
      <c r="DX62" s="9">
        <v>8057425.0094042458</v>
      </c>
      <c r="DY62" s="9">
        <v>2694727.1894042455</v>
      </c>
      <c r="DZ62" s="9">
        <v>8082631.6311565079</v>
      </c>
      <c r="EA62" s="9">
        <v>8082631.6311565079</v>
      </c>
      <c r="EB62" s="9">
        <v>49011.726582278483</v>
      </c>
      <c r="EC62" s="9">
        <v>8033619.9045742294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281545.76736</v>
      </c>
      <c r="EL62" s="9">
        <v>142416</v>
      </c>
      <c r="EM62" s="9">
        <v>0</v>
      </c>
      <c r="EN62" s="9">
        <v>8378017.6394322272</v>
      </c>
      <c r="EO62" s="9">
        <v>8391873.4146496486</v>
      </c>
      <c r="EP62" s="9">
        <f t="shared" si="63"/>
        <v>0</v>
      </c>
      <c r="EQ62" s="9">
        <f t="shared" si="49"/>
        <v>0</v>
      </c>
      <c r="ER62" s="9">
        <f t="shared" si="50"/>
        <v>0</v>
      </c>
      <c r="ES62" s="9">
        <f t="shared" si="51"/>
        <v>0</v>
      </c>
      <c r="ET62" s="9">
        <f t="shared" si="52"/>
        <v>0</v>
      </c>
      <c r="EU62" s="9">
        <f t="shared" si="53"/>
        <v>0</v>
      </c>
      <c r="EV62" s="9">
        <f t="shared" ref="EV62:FA62" si="334">ROUND(ED62-DJ62,0)</f>
        <v>0</v>
      </c>
      <c r="EW62" s="9">
        <f t="shared" si="334"/>
        <v>0</v>
      </c>
      <c r="EX62" s="9">
        <f t="shared" si="334"/>
        <v>0</v>
      </c>
      <c r="EY62" s="9">
        <f t="shared" si="334"/>
        <v>0</v>
      </c>
      <c r="EZ62" s="9">
        <f t="shared" si="334"/>
        <v>0</v>
      </c>
      <c r="FA62" s="9">
        <f t="shared" si="334"/>
        <v>0</v>
      </c>
      <c r="FB62" s="9">
        <f t="shared" si="55"/>
        <v>0</v>
      </c>
      <c r="FC62" s="9">
        <f t="shared" si="56"/>
        <v>0</v>
      </c>
      <c r="FD62" s="9">
        <f t="shared" si="57"/>
        <v>0</v>
      </c>
      <c r="FE62" s="9">
        <f t="shared" si="58"/>
        <v>0</v>
      </c>
      <c r="FF62" s="9"/>
      <c r="FG62" s="9"/>
      <c r="FH62" s="9"/>
      <c r="FI62" s="27"/>
      <c r="FJ62" s="21">
        <v>0</v>
      </c>
      <c r="FK62" s="21">
        <v>0</v>
      </c>
      <c r="FL62" s="21">
        <v>0</v>
      </c>
      <c r="FM62" s="21" t="e">
        <v>#N/A</v>
      </c>
      <c r="FN62" s="21">
        <v>0</v>
      </c>
      <c r="FO62" s="9"/>
    </row>
    <row r="63" spans="1:171">
      <c r="DG63" s="1"/>
    </row>
    <row r="64" spans="1:171">
      <c r="DG64" s="1"/>
    </row>
    <row r="65" spans="111:111">
      <c r="DG65" s="1"/>
    </row>
    <row r="66" spans="111:111">
      <c r="DG66" s="1"/>
    </row>
    <row r="67" spans="111:111">
      <c r="DG67" s="1"/>
    </row>
    <row r="68" spans="111:111">
      <c r="DG68" s="1"/>
    </row>
    <row r="69" spans="111:111">
      <c r="DG69" s="1"/>
    </row>
    <row r="70" spans="111:111">
      <c r="DG70" s="1"/>
    </row>
    <row r="71" spans="111:111">
      <c r="DG71" s="1"/>
    </row>
    <row r="72" spans="111:111">
      <c r="DG72" s="1"/>
    </row>
    <row r="73" spans="111:111">
      <c r="DG73" s="1"/>
    </row>
    <row r="74" spans="111:111">
      <c r="DG74" s="1"/>
    </row>
    <row r="75" spans="111:111">
      <c r="DG75" s="1"/>
    </row>
    <row r="76" spans="111:111">
      <c r="DG76" s="1"/>
    </row>
    <row r="77" spans="111:111">
      <c r="DG77" s="1"/>
    </row>
    <row r="78" spans="111:111">
      <c r="DG78" s="1"/>
    </row>
    <row r="79" spans="111:111">
      <c r="DG79" s="1"/>
    </row>
    <row r="80" spans="111:111">
      <c r="DG80" s="1"/>
    </row>
    <row r="81" spans="111:111">
      <c r="DG81" s="1"/>
    </row>
    <row r="82" spans="111:111">
      <c r="DG82" s="1"/>
    </row>
    <row r="83" spans="111:111">
      <c r="DG83" s="1"/>
    </row>
    <row r="84" spans="111:111">
      <c r="DG84" s="1"/>
    </row>
    <row r="85" spans="111:111">
      <c r="DG85" s="1"/>
    </row>
    <row r="86" spans="111:111">
      <c r="DG86" s="1"/>
    </row>
    <row r="87" spans="111:111">
      <c r="DG87" s="1"/>
    </row>
    <row r="88" spans="111:111">
      <c r="DG88" s="1"/>
    </row>
    <row r="89" spans="111:111">
      <c r="DG89" s="1"/>
    </row>
    <row r="90" spans="111:111">
      <c r="DG90" s="1"/>
    </row>
    <row r="91" spans="111:111">
      <c r="DG91" s="1"/>
    </row>
    <row r="92" spans="111:111">
      <c r="DG92" s="1"/>
    </row>
    <row r="93" spans="111:111">
      <c r="DG93" s="1"/>
    </row>
    <row r="94" spans="111:111">
      <c r="DG94" s="1"/>
    </row>
    <row r="95" spans="111:111">
      <c r="DG95" s="1"/>
    </row>
    <row r="96" spans="111:111">
      <c r="DG96" s="1"/>
    </row>
    <row r="97" spans="111:111">
      <c r="DG97" s="1"/>
    </row>
    <row r="98" spans="111:111">
      <c r="DG98" s="1"/>
    </row>
    <row r="99" spans="111:111">
      <c r="DG99" s="1"/>
    </row>
    <row r="100" spans="111:111">
      <c r="DG100" s="1"/>
    </row>
    <row r="101" spans="111:111">
      <c r="DG101" s="1"/>
    </row>
    <row r="102" spans="111:111">
      <c r="DG102" s="1"/>
    </row>
    <row r="103" spans="111:111">
      <c r="DG103" s="1"/>
    </row>
    <row r="104" spans="111:111">
      <c r="DG104" s="1"/>
    </row>
    <row r="105" spans="111:111">
      <c r="DG105" s="1"/>
    </row>
    <row r="106" spans="111:111">
      <c r="DG106" s="1"/>
    </row>
    <row r="107" spans="111:111">
      <c r="DG107" s="1"/>
    </row>
    <row r="108" spans="111:111">
      <c r="DG108" s="1"/>
    </row>
    <row r="109" spans="111:111">
      <c r="DG109" s="1"/>
    </row>
    <row r="110" spans="111:111">
      <c r="DG110" s="1"/>
    </row>
    <row r="111" spans="111:111">
      <c r="DG111" s="1"/>
    </row>
    <row r="112" spans="111:111">
      <c r="DG112" s="1"/>
    </row>
    <row r="113" spans="111:111">
      <c r="DG113" s="1"/>
    </row>
    <row r="114" spans="111:111">
      <c r="DG114" s="1"/>
    </row>
    <row r="115" spans="111:111">
      <c r="DG115" s="1"/>
    </row>
    <row r="116" spans="111:111">
      <c r="DG116" s="1"/>
    </row>
    <row r="117" spans="111:111">
      <c r="DG117" s="1"/>
    </row>
    <row r="118" spans="111:111">
      <c r="DG118" s="1"/>
    </row>
    <row r="119" spans="111:111">
      <c r="DG119" s="1"/>
    </row>
    <row r="120" spans="111:111">
      <c r="DG120" s="1"/>
    </row>
    <row r="121" spans="111:111">
      <c r="DG121" s="1"/>
    </row>
    <row r="122" spans="111:111">
      <c r="DG122" s="1"/>
    </row>
    <row r="123" spans="111:111">
      <c r="DG123" s="1"/>
    </row>
    <row r="124" spans="111:111">
      <c r="DG124" s="1"/>
    </row>
    <row r="125" spans="111:111">
      <c r="DG125" s="1"/>
    </row>
    <row r="126" spans="111:111">
      <c r="DG126" s="1"/>
    </row>
    <row r="127" spans="111:111">
      <c r="DG127" s="1"/>
    </row>
    <row r="128" spans="111:111">
      <c r="DG128" s="1"/>
    </row>
    <row r="129" spans="111:111">
      <c r="DG129" s="1"/>
    </row>
    <row r="130" spans="111:111">
      <c r="DG130" s="1"/>
    </row>
    <row r="131" spans="111:111">
      <c r="DG131" s="1"/>
    </row>
    <row r="132" spans="111:111">
      <c r="DG132" s="1"/>
    </row>
    <row r="133" spans="111:111">
      <c r="DG133" s="1"/>
    </row>
    <row r="134" spans="111:111">
      <c r="DG134" s="1"/>
    </row>
    <row r="135" spans="111:111">
      <c r="DG135" s="1"/>
    </row>
    <row r="136" spans="111:111">
      <c r="DG136" s="1"/>
    </row>
    <row r="137" spans="111:111">
      <c r="DG137" s="1"/>
    </row>
    <row r="138" spans="111:111">
      <c r="DG138" s="1"/>
    </row>
    <row r="139" spans="111:111">
      <c r="DG139" s="1"/>
    </row>
    <row r="140" spans="111:111">
      <c r="DG140" s="1"/>
    </row>
    <row r="141" spans="111:111">
      <c r="DG141" s="1"/>
    </row>
    <row r="142" spans="111:111">
      <c r="DG142" s="1"/>
    </row>
    <row r="143" spans="111:111">
      <c r="DG143" s="1"/>
    </row>
    <row r="144" spans="111:111">
      <c r="DG144" s="1"/>
    </row>
    <row r="145" spans="111:111">
      <c r="DG145" s="1"/>
    </row>
    <row r="146" spans="111:111">
      <c r="DG146" s="1"/>
    </row>
    <row r="147" spans="111:111">
      <c r="DG147" s="1"/>
    </row>
    <row r="148" spans="111:111">
      <c r="DG148" s="1"/>
    </row>
    <row r="149" spans="111:111">
      <c r="DG149" s="1"/>
    </row>
    <row r="150" spans="111:111">
      <c r="DG150" s="1"/>
    </row>
    <row r="151" spans="111:111">
      <c r="DG151" s="1"/>
    </row>
    <row r="152" spans="111:111">
      <c r="DG152" s="1"/>
    </row>
    <row r="153" spans="111:111">
      <c r="DG153" s="1"/>
    </row>
    <row r="154" spans="111:111">
      <c r="DG154" s="1"/>
    </row>
    <row r="155" spans="111:111">
      <c r="DG155" s="1"/>
    </row>
    <row r="156" spans="111:111">
      <c r="DG156" s="1"/>
    </row>
    <row r="157" spans="111:111">
      <c r="DG157" s="1"/>
    </row>
    <row r="158" spans="111:111">
      <c r="DG158" s="1"/>
    </row>
    <row r="159" spans="111:111">
      <c r="DG159" s="1"/>
    </row>
    <row r="160" spans="111:111">
      <c r="DG160" s="1"/>
    </row>
    <row r="161" spans="111:111">
      <c r="DG161" s="1"/>
    </row>
    <row r="162" spans="111:111">
      <c r="DG162" s="1"/>
    </row>
    <row r="163" spans="111:111">
      <c r="DG163" s="1"/>
    </row>
    <row r="164" spans="111:111">
      <c r="DG164" s="1"/>
    </row>
    <row r="165" spans="111:111">
      <c r="DG165" s="1"/>
    </row>
    <row r="166" spans="111:111">
      <c r="DG166" s="1"/>
    </row>
    <row r="167" spans="111:111">
      <c r="DG167" s="1"/>
    </row>
    <row r="168" spans="111:111">
      <c r="DG168" s="1"/>
    </row>
    <row r="169" spans="111:111">
      <c r="DG169" s="1"/>
    </row>
    <row r="170" spans="111:111">
      <c r="DG170" s="1"/>
    </row>
    <row r="171" spans="111:111">
      <c r="DG171" s="1"/>
    </row>
    <row r="172" spans="111:111">
      <c r="DG172" s="1"/>
    </row>
    <row r="173" spans="111:111">
      <c r="DG173" s="1"/>
    </row>
    <row r="174" spans="111:111">
      <c r="DG174" s="1"/>
    </row>
    <row r="175" spans="111:111">
      <c r="DG175" s="1"/>
    </row>
    <row r="176" spans="111:111">
      <c r="DG176" s="1"/>
    </row>
    <row r="177" spans="111:111">
      <c r="DG177" s="1"/>
    </row>
    <row r="178" spans="111:111">
      <c r="DG178" s="1"/>
    </row>
    <row r="179" spans="111:111">
      <c r="DG179" s="1"/>
    </row>
    <row r="180" spans="111:111">
      <c r="DG180" s="1"/>
    </row>
    <row r="181" spans="111:111">
      <c r="DG181" s="1"/>
    </row>
    <row r="182" spans="111:111">
      <c r="DG182" s="1"/>
    </row>
    <row r="183" spans="111:111">
      <c r="DG183" s="1"/>
    </row>
    <row r="184" spans="111:111">
      <c r="DG184" s="1"/>
    </row>
    <row r="185" spans="111:111">
      <c r="DG185" s="1"/>
    </row>
    <row r="186" spans="111:111">
      <c r="DG186" s="1"/>
    </row>
    <row r="187" spans="111:111">
      <c r="DG187" s="1"/>
    </row>
    <row r="188" spans="111:111">
      <c r="DG188" s="1"/>
    </row>
    <row r="189" spans="111:111">
      <c r="DG189" s="1"/>
    </row>
    <row r="190" spans="111:111">
      <c r="DG190" s="1"/>
    </row>
    <row r="191" spans="111:111">
      <c r="DG191" s="1"/>
    </row>
    <row r="192" spans="111:111">
      <c r="DG192" s="1"/>
    </row>
    <row r="193" spans="111:111">
      <c r="DG193" s="1"/>
    </row>
    <row r="194" spans="111:111">
      <c r="DG194" s="1"/>
    </row>
    <row r="195" spans="111:111">
      <c r="DG195" s="1"/>
    </row>
    <row r="196" spans="111:111">
      <c r="DG196" s="1"/>
    </row>
    <row r="197" spans="111:111">
      <c r="DG197" s="1"/>
    </row>
    <row r="198" spans="111:111">
      <c r="DG198" s="1"/>
    </row>
    <row r="199" spans="111:111">
      <c r="DG199" s="1"/>
    </row>
    <row r="200" spans="111:111">
      <c r="DG200" s="1"/>
    </row>
    <row r="201" spans="111:111">
      <c r="DG201" s="1"/>
    </row>
    <row r="202" spans="111:111">
      <c r="DG202" s="1"/>
    </row>
    <row r="203" spans="111:111">
      <c r="DG203" s="1"/>
    </row>
    <row r="204" spans="111:111">
      <c r="DG204" s="1"/>
    </row>
    <row r="205" spans="111:111">
      <c r="DG205" s="1"/>
    </row>
    <row r="206" spans="111:111">
      <c r="DG206" s="1"/>
    </row>
    <row r="207" spans="111:111">
      <c r="DG207" s="1"/>
    </row>
    <row r="208" spans="111:111">
      <c r="DG208" s="1"/>
    </row>
    <row r="209" spans="111:111">
      <c r="DG209" s="1"/>
    </row>
    <row r="210" spans="111:111">
      <c r="DG210" s="1"/>
    </row>
    <row r="211" spans="111:111">
      <c r="DG211" s="1"/>
    </row>
    <row r="212" spans="111:111">
      <c r="DG212" s="1"/>
    </row>
    <row r="213" spans="111:111">
      <c r="DG213" s="1"/>
    </row>
    <row r="214" spans="111:111">
      <c r="DG214" s="1"/>
    </row>
    <row r="215" spans="111:111">
      <c r="DG215" s="1"/>
    </row>
    <row r="216" spans="111:111">
      <c r="DG216" s="1"/>
    </row>
    <row r="217" spans="111:111">
      <c r="DG217" s="1"/>
    </row>
    <row r="218" spans="111:111">
      <c r="DG218" s="1"/>
    </row>
    <row r="219" spans="111:111">
      <c r="DG219" s="1"/>
    </row>
    <row r="220" spans="111:111">
      <c r="DG220" s="1"/>
    </row>
    <row r="221" spans="111:111">
      <c r="DG221" s="1"/>
    </row>
    <row r="222" spans="111:111">
      <c r="DG222" s="1"/>
    </row>
    <row r="223" spans="111:111">
      <c r="DG223" s="1"/>
    </row>
    <row r="224" spans="111:111">
      <c r="DG224" s="1"/>
    </row>
    <row r="225" spans="111:111">
      <c r="DG225" s="1"/>
    </row>
    <row r="226" spans="111:111">
      <c r="DG226" s="1"/>
    </row>
    <row r="227" spans="111:111">
      <c r="DG227" s="1"/>
    </row>
    <row r="228" spans="111:111">
      <c r="DG228" s="1"/>
    </row>
    <row r="229" spans="111:111">
      <c r="DG229" s="1"/>
    </row>
    <row r="230" spans="111:111">
      <c r="DG230" s="1"/>
    </row>
    <row r="231" spans="111:111">
      <c r="DG231" s="1"/>
    </row>
    <row r="232" spans="111:111">
      <c r="DG232" s="1"/>
    </row>
    <row r="233" spans="111:111">
      <c r="DG233" s="1"/>
    </row>
    <row r="234" spans="111:111">
      <c r="DG234" s="1"/>
    </row>
    <row r="235" spans="111:111">
      <c r="DG235" s="1"/>
    </row>
    <row r="236" spans="111:111">
      <c r="DG236" s="1"/>
    </row>
    <row r="237" spans="111:111">
      <c r="DG237" s="1"/>
    </row>
    <row r="238" spans="111:111">
      <c r="DG238" s="1"/>
    </row>
    <row r="239" spans="111:111">
      <c r="DG239" s="1"/>
    </row>
    <row r="240" spans="111:111">
      <c r="DG240" s="1"/>
    </row>
    <row r="241" spans="111:111">
      <c r="DG241" s="1"/>
    </row>
    <row r="242" spans="111:111">
      <c r="DG242" s="1"/>
    </row>
    <row r="243" spans="111:111">
      <c r="DG243" s="1"/>
    </row>
    <row r="244" spans="111:111">
      <c r="DG244" s="1"/>
    </row>
    <row r="245" spans="111:111">
      <c r="DG245" s="1"/>
    </row>
    <row r="246" spans="111:111">
      <c r="DG246" s="1"/>
    </row>
    <row r="247" spans="111:111">
      <c r="DG247" s="1"/>
    </row>
    <row r="248" spans="111:111">
      <c r="DG248" s="1"/>
    </row>
    <row r="249" spans="111:111">
      <c r="DG249" s="1"/>
    </row>
    <row r="250" spans="111:111">
      <c r="DG250" s="1"/>
    </row>
    <row r="251" spans="111:111">
      <c r="DG251" s="1"/>
    </row>
    <row r="252" spans="111:111">
      <c r="DG252" s="1"/>
    </row>
    <row r="253" spans="111:111">
      <c r="DG253" s="1"/>
    </row>
    <row r="254" spans="111:111">
      <c r="DG254" s="1"/>
    </row>
    <row r="255" spans="111:111">
      <c r="DG255" s="1"/>
    </row>
    <row r="256" spans="111:111">
      <c r="DG256" s="1"/>
    </row>
    <row r="257" spans="111:111">
      <c r="DG257" s="1"/>
    </row>
    <row r="258" spans="111:111">
      <c r="DG258" s="1"/>
    </row>
    <row r="259" spans="111:111">
      <c r="DG259" s="1"/>
    </row>
    <row r="260" spans="111:111">
      <c r="DG260" s="1"/>
    </row>
    <row r="261" spans="111:111">
      <c r="DG261" s="1"/>
    </row>
    <row r="262" spans="111:111">
      <c r="DG262" s="1"/>
    </row>
    <row r="263" spans="111:111">
      <c r="DG263" s="1"/>
    </row>
    <row r="264" spans="111:111">
      <c r="DG264" s="1"/>
    </row>
    <row r="265" spans="111:111">
      <c r="DG265" s="1"/>
    </row>
    <row r="266" spans="111:111">
      <c r="DG266" s="1"/>
    </row>
    <row r="267" spans="111:111">
      <c r="DG267" s="1"/>
    </row>
    <row r="268" spans="111:111">
      <c r="DG268" s="1"/>
    </row>
    <row r="269" spans="111:111">
      <c r="DG269" s="1"/>
    </row>
    <row r="270" spans="111:111">
      <c r="DG270" s="1"/>
    </row>
    <row r="271" spans="111:111">
      <c r="DG271" s="1"/>
    </row>
    <row r="272" spans="111:111">
      <c r="DG272" s="1"/>
    </row>
    <row r="273" spans="111:111">
      <c r="DG273" s="1"/>
    </row>
    <row r="274" spans="111:111">
      <c r="DG274" s="1"/>
    </row>
    <row r="275" spans="111:111">
      <c r="DG275" s="1"/>
    </row>
    <row r="276" spans="111:111">
      <c r="DG276" s="1"/>
    </row>
    <row r="277" spans="111:111">
      <c r="DG277" s="1"/>
    </row>
    <row r="278" spans="111:111">
      <c r="DG278" s="1"/>
    </row>
    <row r="279" spans="111:111">
      <c r="DG279" s="1"/>
    </row>
    <row r="280" spans="111:111">
      <c r="DG280" s="1"/>
    </row>
    <row r="281" spans="111:111">
      <c r="DG281" s="1"/>
    </row>
    <row r="282" spans="111:111">
      <c r="DG282" s="1"/>
    </row>
    <row r="283" spans="111:111">
      <c r="DG283" s="1"/>
    </row>
    <row r="284" spans="111:111">
      <c r="DG284" s="1"/>
    </row>
    <row r="285" spans="111:111">
      <c r="DG285" s="1"/>
    </row>
    <row r="286" spans="111:111">
      <c r="DG286" s="1"/>
    </row>
    <row r="287" spans="111:111">
      <c r="DG287" s="1"/>
    </row>
    <row r="288" spans="111:111">
      <c r="DG288" s="1"/>
    </row>
    <row r="289" spans="111:111">
      <c r="DG289" s="1"/>
    </row>
    <row r="290" spans="111:111">
      <c r="DG290" s="1"/>
    </row>
    <row r="291" spans="111:111">
      <c r="DG291" s="1"/>
    </row>
    <row r="292" spans="111:111">
      <c r="DG292" s="1"/>
    </row>
    <row r="293" spans="111:111">
      <c r="DG293" s="1"/>
    </row>
    <row r="294" spans="111:111">
      <c r="DG294" s="1"/>
    </row>
    <row r="295" spans="111:111">
      <c r="DG295" s="1"/>
    </row>
    <row r="296" spans="111:111">
      <c r="DG296" s="1"/>
    </row>
    <row r="297" spans="111:111">
      <c r="DG297" s="1"/>
    </row>
    <row r="298" spans="111:111">
      <c r="DG298" s="1"/>
    </row>
    <row r="299" spans="111:111">
      <c r="DG299" s="1"/>
    </row>
    <row r="300" spans="111:111">
      <c r="DG300" s="1"/>
    </row>
    <row r="301" spans="111:111">
      <c r="DG301" s="1"/>
    </row>
    <row r="302" spans="111:111">
      <c r="DG302" s="1"/>
    </row>
    <row r="303" spans="111:111">
      <c r="DG303" s="1"/>
    </row>
    <row r="304" spans="111:111">
      <c r="DG304" s="1"/>
    </row>
    <row r="305" spans="111:111">
      <c r="DG305" s="1"/>
    </row>
    <row r="306" spans="111:111">
      <c r="DG306" s="1"/>
    </row>
    <row r="307" spans="111:111">
      <c r="DG307" s="1"/>
    </row>
    <row r="308" spans="111:111">
      <c r="DG308" s="1"/>
    </row>
    <row r="309" spans="111:111">
      <c r="DG309" s="1"/>
    </row>
    <row r="310" spans="111:111">
      <c r="DG310" s="1"/>
    </row>
    <row r="311" spans="111:111">
      <c r="DG311" s="1"/>
    </row>
    <row r="312" spans="111:111">
      <c r="DG312" s="1"/>
    </row>
    <row r="313" spans="111:111">
      <c r="DG313" s="1"/>
    </row>
    <row r="314" spans="111:111">
      <c r="DG314" s="1"/>
    </row>
    <row r="315" spans="111:111">
      <c r="DG315" s="1"/>
    </row>
    <row r="316" spans="111:111">
      <c r="DG316" s="1"/>
    </row>
    <row r="317" spans="111:111">
      <c r="DG317" s="1"/>
    </row>
    <row r="318" spans="111:111">
      <c r="DG318" s="1"/>
    </row>
    <row r="319" spans="111:111">
      <c r="DG319" s="1"/>
    </row>
    <row r="320" spans="111:111">
      <c r="DG320" s="1"/>
    </row>
    <row r="321" spans="111:111">
      <c r="DG321" s="1"/>
    </row>
    <row r="322" spans="111:111">
      <c r="DG322" s="1"/>
    </row>
    <row r="323" spans="111:111">
      <c r="DG323" s="1"/>
    </row>
    <row r="324" spans="111:111">
      <c r="DG324" s="1"/>
    </row>
    <row r="325" spans="111:111">
      <c r="DG325" s="1"/>
    </row>
    <row r="326" spans="111:111">
      <c r="DG326" s="1"/>
    </row>
    <row r="327" spans="111:111">
      <c r="DG327" s="1"/>
    </row>
    <row r="328" spans="111:111">
      <c r="DG328" s="1"/>
    </row>
    <row r="329" spans="111:111">
      <c r="DG329" s="1"/>
    </row>
    <row r="330" spans="111:111">
      <c r="DG330" s="1"/>
    </row>
    <row r="331" spans="111:111">
      <c r="DG331" s="1"/>
    </row>
    <row r="332" spans="111:111">
      <c r="DG332" s="1"/>
    </row>
    <row r="333" spans="111:111">
      <c r="DG333" s="1"/>
    </row>
    <row r="334" spans="111:111">
      <c r="DG334" s="1"/>
    </row>
    <row r="335" spans="111:111">
      <c r="DG335" s="1"/>
    </row>
    <row r="336" spans="111:111">
      <c r="DG336" s="1"/>
    </row>
    <row r="337" spans="111:111">
      <c r="DG337" s="1"/>
    </row>
    <row r="338" spans="111:111">
      <c r="DG338" s="1"/>
    </row>
    <row r="339" spans="111:111">
      <c r="DG339" s="1"/>
    </row>
    <row r="340" spans="111:111">
      <c r="DG340" s="1"/>
    </row>
    <row r="341" spans="111:111">
      <c r="DG341" s="1"/>
    </row>
    <row r="342" spans="111:111">
      <c r="DG342" s="1"/>
    </row>
    <row r="343" spans="111:111">
      <c r="DG343" s="1"/>
    </row>
    <row r="344" spans="111:111">
      <c r="DG344" s="1"/>
    </row>
    <row r="345" spans="111:111">
      <c r="DG345" s="1"/>
    </row>
    <row r="346" spans="111:111">
      <c r="DG346" s="1"/>
    </row>
    <row r="347" spans="111:111">
      <c r="DG347" s="1"/>
    </row>
    <row r="348" spans="111:111">
      <c r="DG348" s="1"/>
    </row>
    <row r="349" spans="111:111">
      <c r="DG349" s="1"/>
    </row>
    <row r="350" spans="111:111">
      <c r="DG350" s="1"/>
    </row>
    <row r="351" spans="111:111">
      <c r="DG351" s="1"/>
    </row>
    <row r="352" spans="111:111">
      <c r="DG352" s="1"/>
    </row>
    <row r="353" spans="111:111">
      <c r="DG353" s="1"/>
    </row>
    <row r="354" spans="111:111">
      <c r="DG354" s="1"/>
    </row>
    <row r="355" spans="111:111">
      <c r="DG355" s="1"/>
    </row>
    <row r="356" spans="111:111">
      <c r="DG356" s="1"/>
    </row>
    <row r="357" spans="111:111">
      <c r="DG357" s="1"/>
    </row>
    <row r="358" spans="111:111">
      <c r="DG358" s="1"/>
    </row>
    <row r="359" spans="111:111">
      <c r="DG359" s="1"/>
    </row>
    <row r="360" spans="111:111">
      <c r="DG360" s="1"/>
    </row>
    <row r="361" spans="111:111">
      <c r="DG361" s="1"/>
    </row>
    <row r="362" spans="111:111">
      <c r="DG362" s="1"/>
    </row>
    <row r="363" spans="111:111">
      <c r="DG363" s="1"/>
    </row>
    <row r="364" spans="111:111">
      <c r="DG364" s="1"/>
    </row>
    <row r="365" spans="111:111">
      <c r="DG365" s="1"/>
    </row>
    <row r="366" spans="111:111">
      <c r="DG366" s="1"/>
    </row>
    <row r="367" spans="111:111">
      <c r="DG367" s="1"/>
    </row>
    <row r="368" spans="111:111">
      <c r="DG368" s="1"/>
    </row>
    <row r="369" spans="111:111">
      <c r="DG369" s="1"/>
    </row>
    <row r="370" spans="111:111">
      <c r="DG370" s="1"/>
    </row>
    <row r="371" spans="111:111">
      <c r="DG371" s="1"/>
    </row>
    <row r="372" spans="111:111">
      <c r="DG372" s="1"/>
    </row>
    <row r="373" spans="111:111">
      <c r="DG373" s="1"/>
    </row>
    <row r="374" spans="111:111">
      <c r="DG374" s="1"/>
    </row>
    <row r="375" spans="111:111">
      <c r="DG375" s="1"/>
    </row>
    <row r="376" spans="111:111">
      <c r="DG376" s="1"/>
    </row>
    <row r="377" spans="111:111">
      <c r="DG377" s="1"/>
    </row>
    <row r="378" spans="111:111">
      <c r="DG378" s="1"/>
    </row>
    <row r="379" spans="111:111">
      <c r="DG379" s="1"/>
    </row>
    <row r="380" spans="111:111">
      <c r="DG380" s="1"/>
    </row>
    <row r="381" spans="111:111">
      <c r="DG381" s="1"/>
    </row>
    <row r="382" spans="111:111">
      <c r="DG382" s="1"/>
    </row>
    <row r="383" spans="111:111">
      <c r="DG383" s="1"/>
    </row>
    <row r="384" spans="111:111">
      <c r="DG384" s="1"/>
    </row>
    <row r="385" spans="111:111">
      <c r="DG385" s="1"/>
    </row>
    <row r="386" spans="111:111">
      <c r="DG386" s="1"/>
    </row>
    <row r="387" spans="111:111">
      <c r="DG387" s="1"/>
    </row>
    <row r="388" spans="111:111">
      <c r="DG388" s="1"/>
    </row>
    <row r="389" spans="111:111">
      <c r="DG389" s="1"/>
    </row>
    <row r="390" spans="111:111">
      <c r="DG390" s="1"/>
    </row>
    <row r="391" spans="111:111">
      <c r="DG391" s="1"/>
    </row>
    <row r="392" spans="111:111">
      <c r="DG392" s="1"/>
    </row>
    <row r="393" spans="111:111">
      <c r="DG393" s="1"/>
    </row>
    <row r="394" spans="111:111">
      <c r="DG394" s="1"/>
    </row>
    <row r="395" spans="111:111">
      <c r="DG395" s="1"/>
    </row>
    <row r="396" spans="111:111">
      <c r="DG396" s="1"/>
    </row>
    <row r="397" spans="111:111">
      <c r="DG397" s="1"/>
    </row>
    <row r="398" spans="111:111">
      <c r="DG398" s="1"/>
    </row>
    <row r="399" spans="111:111">
      <c r="DG399" s="1"/>
    </row>
    <row r="400" spans="111:111">
      <c r="DG400" s="1"/>
    </row>
    <row r="401" spans="111:111">
      <c r="DG401" s="1"/>
    </row>
    <row r="402" spans="111:111">
      <c r="DG402" s="1"/>
    </row>
    <row r="403" spans="111:111">
      <c r="DG403" s="1"/>
    </row>
    <row r="404" spans="111:111">
      <c r="DG404" s="1"/>
    </row>
    <row r="405" spans="111:111">
      <c r="DG405" s="1"/>
    </row>
    <row r="406" spans="111:111">
      <c r="DG406" s="1"/>
    </row>
    <row r="407" spans="111:111">
      <c r="DG407" s="1"/>
    </row>
    <row r="408" spans="111:111">
      <c r="DG408" s="1"/>
    </row>
    <row r="409" spans="111:111">
      <c r="DG409" s="1"/>
    </row>
    <row r="410" spans="111:111">
      <c r="DG410" s="1"/>
    </row>
    <row r="411" spans="111:111">
      <c r="DG411" s="1"/>
    </row>
    <row r="412" spans="111:111">
      <c r="DG412" s="1"/>
    </row>
    <row r="413" spans="111:111">
      <c r="DG413" s="1"/>
    </row>
    <row r="414" spans="111:111">
      <c r="DG414" s="1"/>
    </row>
    <row r="415" spans="111:111">
      <c r="DG415" s="1"/>
    </row>
    <row r="416" spans="111:111">
      <c r="DG416" s="1"/>
    </row>
    <row r="417" spans="111:111">
      <c r="DG417" s="1"/>
    </row>
    <row r="418" spans="111:111">
      <c r="DG418" s="1"/>
    </row>
    <row r="419" spans="111:111">
      <c r="DG419" s="1"/>
    </row>
    <row r="420" spans="111:111">
      <c r="DG420" s="1"/>
    </row>
    <row r="421" spans="111:111">
      <c r="DG421" s="1"/>
    </row>
    <row r="422" spans="111:111">
      <c r="DG422" s="1"/>
    </row>
    <row r="423" spans="111:111">
      <c r="DG423" s="1"/>
    </row>
    <row r="424" spans="111:111">
      <c r="DG424" s="1"/>
    </row>
    <row r="425" spans="111:111">
      <c r="DG425" s="1"/>
    </row>
    <row r="426" spans="111:111">
      <c r="DG426" s="1"/>
    </row>
    <row r="427" spans="111:111">
      <c r="DG427" s="1"/>
    </row>
    <row r="428" spans="111:111">
      <c r="DG428" s="1"/>
    </row>
    <row r="429" spans="111:111">
      <c r="DG429" s="1"/>
    </row>
    <row r="430" spans="111:111">
      <c r="DG430" s="1"/>
    </row>
    <row r="431" spans="111:111">
      <c r="DG431" s="1"/>
    </row>
    <row r="432" spans="111:111">
      <c r="DG432" s="1"/>
    </row>
    <row r="433" spans="111:111">
      <c r="DG433" s="1"/>
    </row>
    <row r="434" spans="111:111">
      <c r="DG434" s="1"/>
    </row>
    <row r="435" spans="111:111">
      <c r="DG435" s="1"/>
    </row>
    <row r="436" spans="111:111">
      <c r="DG436" s="1"/>
    </row>
    <row r="437" spans="111:111">
      <c r="DG437" s="1"/>
    </row>
    <row r="438" spans="111:111">
      <c r="DG438" s="1"/>
    </row>
    <row r="439" spans="111:111">
      <c r="DG439" s="1"/>
    </row>
    <row r="440" spans="111:111">
      <c r="DG440" s="1"/>
    </row>
    <row r="441" spans="111:111">
      <c r="DG441" s="1"/>
    </row>
    <row r="442" spans="111:111">
      <c r="DG442" s="1"/>
    </row>
    <row r="443" spans="111:111">
      <c r="DG443" s="1"/>
    </row>
    <row r="444" spans="111:111">
      <c r="DG444" s="1"/>
    </row>
    <row r="445" spans="111:111">
      <c r="DG445" s="1"/>
    </row>
    <row r="446" spans="111:111">
      <c r="DG446" s="1"/>
    </row>
    <row r="447" spans="111:111">
      <c r="DG447" s="1"/>
    </row>
    <row r="448" spans="111:111">
      <c r="DG448" s="1"/>
    </row>
    <row r="449" spans="111:111">
      <c r="DG449" s="1"/>
    </row>
    <row r="450" spans="111:111">
      <c r="DG450" s="1"/>
    </row>
    <row r="451" spans="111:111">
      <c r="DG451" s="1"/>
    </row>
    <row r="452" spans="111:111">
      <c r="DG452" s="1"/>
    </row>
    <row r="453" spans="111:111">
      <c r="DG453" s="1"/>
    </row>
    <row r="454" spans="111:111">
      <c r="DG454" s="1"/>
    </row>
    <row r="455" spans="111:111">
      <c r="DG455" s="1"/>
    </row>
    <row r="456" spans="111:111">
      <c r="DG456" s="1"/>
    </row>
    <row r="457" spans="111:111">
      <c r="DG457" s="1"/>
    </row>
    <row r="458" spans="111:111">
      <c r="DG458" s="1"/>
    </row>
    <row r="459" spans="111:111">
      <c r="DG459" s="1"/>
    </row>
    <row r="460" spans="111:111">
      <c r="DG460" s="1"/>
    </row>
    <row r="461" spans="111:111">
      <c r="DG461" s="1"/>
    </row>
    <row r="462" spans="111:111">
      <c r="DG462" s="1"/>
    </row>
    <row r="463" spans="111:111">
      <c r="DG463" s="1"/>
    </row>
    <row r="464" spans="111:111">
      <c r="DG464" s="1"/>
    </row>
    <row r="465" spans="111:111">
      <c r="DG465" s="1"/>
    </row>
    <row r="466" spans="111:111">
      <c r="DG466" s="1"/>
    </row>
    <row r="467" spans="111:111">
      <c r="DG467" s="1"/>
    </row>
    <row r="468" spans="111:111">
      <c r="DG468" s="1"/>
    </row>
    <row r="469" spans="111:111">
      <c r="DG469" s="1"/>
    </row>
    <row r="470" spans="111:111">
      <c r="DG470" s="1"/>
    </row>
    <row r="471" spans="111:111">
      <c r="DG471" s="1"/>
    </row>
    <row r="472" spans="111:111">
      <c r="DG472" s="1"/>
    </row>
    <row r="473" spans="111:111">
      <c r="DG473" s="1"/>
    </row>
    <row r="474" spans="111:111">
      <c r="DG474" s="1"/>
    </row>
    <row r="475" spans="111:111">
      <c r="DG475" s="1"/>
    </row>
    <row r="476" spans="111:111">
      <c r="DG476" s="1"/>
    </row>
    <row r="477" spans="111:111">
      <c r="DG477" s="1"/>
    </row>
    <row r="478" spans="111:111">
      <c r="DG478" s="1"/>
    </row>
    <row r="479" spans="111:111">
      <c r="DG479" s="1"/>
    </row>
    <row r="480" spans="111:111">
      <c r="DG480" s="1"/>
    </row>
    <row r="481" spans="111:111">
      <c r="DG481" s="1"/>
    </row>
    <row r="482" spans="111:111">
      <c r="DG482" s="1"/>
    </row>
    <row r="483" spans="111:111">
      <c r="DG483" s="1"/>
    </row>
    <row r="484" spans="111:111">
      <c r="DG484" s="1"/>
    </row>
    <row r="485" spans="111:111">
      <c r="DG485" s="1"/>
    </row>
    <row r="486" spans="111:111">
      <c r="DG486" s="1"/>
    </row>
    <row r="487" spans="111:111">
      <c r="DG487" s="1"/>
    </row>
    <row r="488" spans="111:111">
      <c r="DG488" s="1"/>
    </row>
    <row r="489" spans="111:111">
      <c r="DG489" s="1"/>
    </row>
    <row r="490" spans="111:111">
      <c r="DG490" s="1"/>
    </row>
    <row r="491" spans="111:111">
      <c r="DG491" s="1"/>
    </row>
    <row r="492" spans="111:111">
      <c r="DG492" s="1"/>
    </row>
    <row r="493" spans="111:111">
      <c r="DG493" s="1"/>
    </row>
    <row r="494" spans="111:111">
      <c r="DG494" s="1"/>
    </row>
    <row r="495" spans="111:111">
      <c r="DG495" s="1"/>
    </row>
    <row r="496" spans="111:111">
      <c r="DG496" s="1"/>
    </row>
    <row r="497" spans="111:111">
      <c r="DG497" s="1"/>
    </row>
    <row r="498" spans="111:111">
      <c r="DG498" s="1"/>
    </row>
    <row r="499" spans="111:111">
      <c r="DG499" s="1"/>
    </row>
    <row r="500" spans="111:111">
      <c r="DG500" s="1"/>
    </row>
    <row r="501" spans="111:111">
      <c r="DG501" s="1"/>
    </row>
    <row r="502" spans="111:111">
      <c r="DG502" s="1"/>
    </row>
    <row r="503" spans="111:111">
      <c r="DG503" s="1"/>
    </row>
    <row r="504" spans="111:111">
      <c r="DG504" s="1"/>
    </row>
    <row r="505" spans="111:111">
      <c r="DG505" s="1"/>
    </row>
    <row r="506" spans="111:111">
      <c r="DG506" s="1"/>
    </row>
    <row r="507" spans="111:111">
      <c r="DG507" s="1"/>
    </row>
    <row r="508" spans="111:111">
      <c r="DG508" s="1"/>
    </row>
    <row r="509" spans="111:111">
      <c r="DG509" s="1"/>
    </row>
    <row r="510" spans="111:111">
      <c r="DG510" s="1"/>
    </row>
    <row r="511" spans="111:111">
      <c r="DG511" s="1"/>
    </row>
    <row r="512" spans="111:111">
      <c r="DG512" s="1"/>
    </row>
    <row r="513" spans="111:111">
      <c r="DG513" s="1"/>
    </row>
    <row r="514" spans="111:111">
      <c r="DG514" s="1"/>
    </row>
    <row r="515" spans="111:111">
      <c r="DG515" s="1"/>
    </row>
    <row r="516" spans="111:111">
      <c r="DG516" s="1"/>
    </row>
    <row r="517" spans="111:111">
      <c r="DG517" s="1"/>
    </row>
    <row r="518" spans="111:111">
      <c r="DG518" s="1"/>
    </row>
    <row r="519" spans="111:111">
      <c r="DG519" s="1"/>
    </row>
    <row r="520" spans="111:111">
      <c r="DG520" s="1"/>
    </row>
    <row r="521" spans="111:111">
      <c r="DG521" s="1"/>
    </row>
    <row r="522" spans="111:111">
      <c r="DG522" s="1"/>
    </row>
    <row r="523" spans="111:111">
      <c r="DG523" s="1"/>
    </row>
    <row r="524" spans="111:111">
      <c r="DG524" s="1"/>
    </row>
    <row r="525" spans="111:111">
      <c r="DG525" s="1"/>
    </row>
    <row r="526" spans="111:111">
      <c r="DG526" s="1"/>
    </row>
    <row r="527" spans="111:111">
      <c r="DG527" s="1"/>
    </row>
    <row r="528" spans="111:111">
      <c r="DG528" s="1"/>
    </row>
    <row r="529" spans="111:111">
      <c r="DG529" s="1"/>
    </row>
    <row r="530" spans="111:111">
      <c r="DG530" s="1"/>
    </row>
    <row r="531" spans="111:111">
      <c r="DG531" s="1"/>
    </row>
    <row r="532" spans="111:111">
      <c r="DG532" s="1"/>
    </row>
    <row r="533" spans="111:111">
      <c r="DG533" s="1"/>
    </row>
    <row r="534" spans="111:111">
      <c r="DG534" s="1"/>
    </row>
    <row r="535" spans="111:111">
      <c r="DG535" s="1"/>
    </row>
    <row r="536" spans="111:111">
      <c r="DG536" s="1"/>
    </row>
    <row r="537" spans="111:111">
      <c r="DG537" s="1"/>
    </row>
    <row r="538" spans="111:111">
      <c r="DG538" s="1"/>
    </row>
    <row r="539" spans="111:111">
      <c r="DG539" s="1"/>
    </row>
    <row r="540" spans="111:111">
      <c r="DG540" s="1"/>
    </row>
    <row r="541" spans="111:111">
      <c r="DG541" s="1"/>
    </row>
    <row r="542" spans="111:111">
      <c r="DG542" s="1"/>
    </row>
    <row r="543" spans="111:111">
      <c r="DG543" s="1"/>
    </row>
    <row r="544" spans="111:111">
      <c r="DG544" s="1"/>
    </row>
    <row r="545" spans="111:111">
      <c r="DG545" s="1"/>
    </row>
    <row r="546" spans="111:111">
      <c r="DG546" s="1"/>
    </row>
    <row r="547" spans="111:111">
      <c r="DG547" s="1"/>
    </row>
    <row r="548" spans="111:111">
      <c r="DG548" s="1"/>
    </row>
    <row r="549" spans="111:111">
      <c r="DG549" s="1"/>
    </row>
    <row r="550" spans="111:111">
      <c r="DG550" s="1"/>
    </row>
    <row r="551" spans="111:111">
      <c r="DG551" s="1"/>
    </row>
    <row r="552" spans="111:111">
      <c r="DG552" s="1"/>
    </row>
    <row r="553" spans="111:111">
      <c r="DG553" s="1"/>
    </row>
    <row r="554" spans="111:111">
      <c r="DG554" s="1"/>
    </row>
    <row r="555" spans="111:111">
      <c r="DG555" s="1"/>
    </row>
    <row r="556" spans="111:111">
      <c r="DG556" s="1"/>
    </row>
    <row r="557" spans="111:111">
      <c r="DG557" s="1"/>
    </row>
    <row r="558" spans="111:111">
      <c r="DG558" s="1"/>
    </row>
    <row r="559" spans="111:111">
      <c r="DG559" s="1"/>
    </row>
    <row r="560" spans="111:111">
      <c r="DG560" s="1"/>
    </row>
    <row r="561" spans="111:111">
      <c r="DG561" s="1"/>
    </row>
    <row r="562" spans="111:111">
      <c r="DG562" s="1"/>
    </row>
    <row r="563" spans="111:111">
      <c r="DG563" s="1"/>
    </row>
    <row r="564" spans="111:111">
      <c r="DG564" s="1"/>
    </row>
    <row r="565" spans="111:111">
      <c r="DG565" s="1"/>
    </row>
    <row r="566" spans="111:111">
      <c r="DG566" s="1"/>
    </row>
    <row r="567" spans="111:111">
      <c r="DG567" s="1"/>
    </row>
    <row r="568" spans="111:111">
      <c r="DG568" s="1"/>
    </row>
    <row r="569" spans="111:111">
      <c r="DG569" s="1"/>
    </row>
    <row r="570" spans="111:111">
      <c r="DG570" s="1"/>
    </row>
    <row r="571" spans="111:111">
      <c r="DG571" s="1"/>
    </row>
    <row r="572" spans="111:111">
      <c r="DG572" s="1"/>
    </row>
    <row r="573" spans="111:111">
      <c r="DG573" s="1"/>
    </row>
    <row r="574" spans="111:111">
      <c r="DG574" s="1"/>
    </row>
    <row r="575" spans="111:111">
      <c r="DG575" s="1"/>
    </row>
    <row r="576" spans="111:111">
      <c r="DG576" s="1"/>
    </row>
    <row r="577" spans="111:111">
      <c r="DG577" s="1"/>
    </row>
    <row r="578" spans="111:111">
      <c r="DG578" s="1"/>
    </row>
    <row r="579" spans="111:111">
      <c r="DG579" s="1"/>
    </row>
    <row r="580" spans="111:111">
      <c r="DG580" s="1"/>
    </row>
    <row r="581" spans="111:111">
      <c r="DG581" s="1"/>
    </row>
    <row r="582" spans="111:111">
      <c r="DG582" s="1"/>
    </row>
    <row r="583" spans="111:111">
      <c r="DG583" s="1"/>
    </row>
    <row r="584" spans="111:111">
      <c r="DG584" s="1"/>
    </row>
    <row r="585" spans="111:111">
      <c r="DG585" s="1"/>
    </row>
    <row r="586" spans="111:111">
      <c r="DG586" s="1"/>
    </row>
    <row r="587" spans="111:111">
      <c r="DG587" s="1"/>
    </row>
    <row r="588" spans="111:111">
      <c r="DG588" s="1"/>
    </row>
    <row r="589" spans="111:111">
      <c r="DG589" s="1"/>
    </row>
    <row r="590" spans="111:111">
      <c r="DG590" s="1"/>
    </row>
    <row r="591" spans="111:111">
      <c r="DG591" s="1"/>
    </row>
    <row r="592" spans="111:111">
      <c r="DG592" s="1"/>
    </row>
    <row r="593" spans="111:111">
      <c r="DG593" s="1"/>
    </row>
    <row r="594" spans="111:111">
      <c r="DG594" s="1"/>
    </row>
    <row r="595" spans="111:111">
      <c r="DG595" s="1"/>
    </row>
    <row r="596" spans="111:111">
      <c r="DG596" s="1"/>
    </row>
    <row r="597" spans="111:111">
      <c r="DG597" s="1"/>
    </row>
    <row r="598" spans="111:111">
      <c r="DG598" s="1"/>
    </row>
    <row r="599" spans="111:111">
      <c r="DG599" s="1"/>
    </row>
    <row r="600" spans="111:111">
      <c r="DG600" s="1"/>
    </row>
    <row r="601" spans="111:111">
      <c r="DG601" s="1"/>
    </row>
    <row r="602" spans="111:111">
      <c r="DG602" s="1"/>
    </row>
    <row r="603" spans="111:111">
      <c r="DG603" s="1"/>
    </row>
    <row r="604" spans="111:111">
      <c r="DG604" s="1"/>
    </row>
    <row r="605" spans="111:111">
      <c r="DG605" s="1"/>
    </row>
    <row r="606" spans="111:111">
      <c r="DG606" s="1"/>
    </row>
    <row r="607" spans="111:111">
      <c r="DG607" s="1"/>
    </row>
    <row r="608" spans="111:111">
      <c r="DG608" s="1"/>
    </row>
    <row r="609" spans="111:111">
      <c r="DG609" s="1"/>
    </row>
    <row r="610" spans="111:111">
      <c r="DG610" s="1"/>
    </row>
    <row r="611" spans="111:111">
      <c r="DG611" s="1"/>
    </row>
    <row r="612" spans="111:111">
      <c r="DG612" s="1"/>
    </row>
    <row r="613" spans="111:111">
      <c r="DG613" s="1"/>
    </row>
    <row r="614" spans="111:111">
      <c r="DG614" s="1"/>
    </row>
    <row r="615" spans="111:111">
      <c r="DG615" s="1"/>
    </row>
    <row r="616" spans="111:111">
      <c r="DG616" s="1"/>
    </row>
    <row r="617" spans="111:111">
      <c r="DG617" s="1"/>
    </row>
    <row r="618" spans="111:111">
      <c r="DG618" s="1"/>
    </row>
    <row r="619" spans="111:111">
      <c r="DG619" s="1"/>
    </row>
    <row r="620" spans="111:111">
      <c r="DG620" s="1"/>
    </row>
    <row r="621" spans="111:111">
      <c r="DG621" s="1"/>
    </row>
    <row r="622" spans="111:111">
      <c r="DG622" s="1"/>
    </row>
    <row r="623" spans="111:111">
      <c r="DG623" s="1"/>
    </row>
    <row r="624" spans="111:111">
      <c r="DG624" s="1"/>
    </row>
    <row r="625" spans="111:111">
      <c r="DG625" s="1"/>
    </row>
    <row r="626" spans="111:111">
      <c r="DG626" s="1"/>
    </row>
    <row r="627" spans="111:111">
      <c r="DG627" s="1"/>
    </row>
    <row r="628" spans="111:111">
      <c r="DG628" s="1"/>
    </row>
    <row r="629" spans="111:111">
      <c r="DG629" s="1"/>
    </row>
    <row r="630" spans="111:111">
      <c r="DG630" s="1"/>
    </row>
    <row r="631" spans="111:111">
      <c r="DG631" s="1"/>
    </row>
    <row r="632" spans="111:111">
      <c r="DG632" s="1"/>
    </row>
    <row r="633" spans="111:111">
      <c r="DG633" s="1"/>
    </row>
    <row r="634" spans="111:111">
      <c r="DG634" s="1"/>
    </row>
    <row r="635" spans="111:111">
      <c r="DG635" s="1"/>
    </row>
    <row r="636" spans="111:111">
      <c r="DG636" s="1"/>
    </row>
    <row r="637" spans="111:111">
      <c r="DG637" s="1"/>
    </row>
    <row r="638" spans="111:111">
      <c r="DG638" s="1"/>
    </row>
    <row r="639" spans="111:111">
      <c r="DG639" s="1"/>
    </row>
    <row r="640" spans="111:111">
      <c r="DG640" s="1"/>
    </row>
    <row r="641" spans="111:111">
      <c r="DG641" s="1"/>
    </row>
    <row r="642" spans="111:111">
      <c r="DG642" s="1"/>
    </row>
    <row r="643" spans="111:111">
      <c r="DG643" s="1"/>
    </row>
    <row r="644" spans="111:111">
      <c r="DG644" s="1"/>
    </row>
    <row r="645" spans="111:111">
      <c r="DG645" s="1"/>
    </row>
    <row r="646" spans="111:111">
      <c r="DG646" s="1"/>
    </row>
    <row r="647" spans="111:111">
      <c r="DG647" s="1"/>
    </row>
    <row r="648" spans="111:111">
      <c r="DG648" s="1"/>
    </row>
    <row r="649" spans="111:111">
      <c r="DG649" s="1"/>
    </row>
    <row r="650" spans="111:111">
      <c r="DG650" s="1"/>
    </row>
    <row r="651" spans="111:111">
      <c r="DG651" s="1"/>
    </row>
    <row r="652" spans="111:111">
      <c r="DG652" s="1"/>
    </row>
    <row r="653" spans="111:111">
      <c r="DG653" s="1"/>
    </row>
    <row r="654" spans="111:111">
      <c r="DG654" s="1"/>
    </row>
    <row r="655" spans="111:111">
      <c r="DG655" s="1"/>
    </row>
    <row r="656" spans="111:111">
      <c r="DG656" s="1"/>
    </row>
    <row r="657" spans="111:111">
      <c r="DG657" s="1"/>
    </row>
    <row r="658" spans="111:111">
      <c r="DG658" s="1"/>
    </row>
    <row r="659" spans="111:111">
      <c r="DG659" s="1"/>
    </row>
    <row r="660" spans="111:111">
      <c r="DG660" s="1"/>
    </row>
    <row r="661" spans="111:111">
      <c r="DG661" s="1"/>
    </row>
    <row r="662" spans="111:111">
      <c r="DG662" s="1"/>
    </row>
    <row r="663" spans="111:111">
      <c r="DG663" s="1"/>
    </row>
    <row r="664" spans="111:111">
      <c r="DG664" s="1"/>
    </row>
    <row r="665" spans="111:111">
      <c r="DG665" s="1"/>
    </row>
    <row r="666" spans="111:111">
      <c r="DG666" s="1"/>
    </row>
    <row r="667" spans="111:111">
      <c r="DG667" s="1"/>
    </row>
    <row r="668" spans="111:111">
      <c r="DG668" s="1"/>
    </row>
    <row r="669" spans="111:111">
      <c r="DG669" s="1"/>
    </row>
    <row r="670" spans="111:111">
      <c r="DG670" s="1"/>
    </row>
    <row r="671" spans="111:111">
      <c r="DG671" s="1"/>
    </row>
    <row r="672" spans="111:111">
      <c r="DG672" s="1"/>
    </row>
    <row r="673" spans="111:111">
      <c r="DG673" s="1"/>
    </row>
    <row r="674" spans="111:111">
      <c r="DG674" s="1"/>
    </row>
    <row r="675" spans="111:111">
      <c r="DG675" s="1"/>
    </row>
    <row r="676" spans="111:111">
      <c r="DG676" s="1"/>
    </row>
    <row r="677" spans="111:111">
      <c r="DG677" s="1"/>
    </row>
    <row r="678" spans="111:111">
      <c r="DG678" s="1"/>
    </row>
    <row r="679" spans="111:111">
      <c r="DG679" s="1"/>
    </row>
    <row r="680" spans="111:111">
      <c r="DG680" s="1"/>
    </row>
    <row r="681" spans="111:111">
      <c r="DG681" s="1"/>
    </row>
    <row r="682" spans="111:111">
      <c r="DG682" s="1"/>
    </row>
    <row r="683" spans="111:111">
      <c r="DG683" s="1"/>
    </row>
    <row r="684" spans="111:111">
      <c r="DG684" s="1"/>
    </row>
    <row r="685" spans="111:111">
      <c r="DG685" s="1"/>
    </row>
    <row r="686" spans="111:111">
      <c r="DG686" s="1"/>
    </row>
    <row r="687" spans="111:111">
      <c r="DG687" s="1"/>
    </row>
    <row r="688" spans="111:111">
      <c r="DG688" s="1"/>
    </row>
    <row r="689" spans="111:111">
      <c r="DG689" s="1"/>
    </row>
    <row r="690" spans="111:111">
      <c r="DG690" s="1"/>
    </row>
    <row r="691" spans="111:111">
      <c r="DG691" s="1"/>
    </row>
    <row r="692" spans="111:111">
      <c r="DG692" s="1"/>
    </row>
    <row r="693" spans="111:111">
      <c r="DG693" s="1"/>
    </row>
    <row r="694" spans="111:111">
      <c r="DG694" s="1"/>
    </row>
    <row r="695" spans="111:111">
      <c r="DG695" s="1"/>
    </row>
    <row r="696" spans="111:111">
      <c r="DG696" s="1"/>
    </row>
    <row r="697" spans="111:111">
      <c r="DG697" s="1"/>
    </row>
    <row r="698" spans="111:111">
      <c r="DG698" s="1"/>
    </row>
    <row r="699" spans="111:111">
      <c r="DG699" s="1"/>
    </row>
    <row r="700" spans="111:111">
      <c r="DG700" s="1"/>
    </row>
    <row r="701" spans="111:111">
      <c r="DG701" s="1"/>
    </row>
    <row r="702" spans="111:111">
      <c r="DG702" s="1"/>
    </row>
    <row r="703" spans="111:111">
      <c r="DG703" s="1"/>
    </row>
    <row r="704" spans="111:111">
      <c r="DG704" s="1"/>
    </row>
    <row r="705" spans="111:111">
      <c r="DG705" s="1"/>
    </row>
    <row r="706" spans="111:111">
      <c r="DG706" s="1"/>
    </row>
    <row r="707" spans="111:111">
      <c r="DG707" s="1"/>
    </row>
    <row r="708" spans="111:111">
      <c r="DG708" s="1"/>
    </row>
    <row r="709" spans="111:111">
      <c r="DG709" s="1"/>
    </row>
    <row r="710" spans="111:111">
      <c r="DG710" s="1"/>
    </row>
    <row r="711" spans="111:111">
      <c r="DG711" s="1"/>
    </row>
    <row r="712" spans="111:111">
      <c r="DG712" s="1"/>
    </row>
    <row r="713" spans="111:111">
      <c r="DG713" s="1"/>
    </row>
    <row r="714" spans="111:111">
      <c r="DG714" s="1"/>
    </row>
    <row r="715" spans="111:111">
      <c r="DG715" s="1"/>
    </row>
    <row r="716" spans="111:111">
      <c r="DG716" s="1"/>
    </row>
    <row r="717" spans="111:111">
      <c r="DG717" s="1"/>
    </row>
    <row r="718" spans="111:111">
      <c r="DG718" s="1"/>
    </row>
    <row r="719" spans="111:111">
      <c r="DG719" s="1"/>
    </row>
    <row r="720" spans="111:111">
      <c r="DG720" s="1"/>
    </row>
    <row r="721" spans="111:111">
      <c r="DG721" s="1"/>
    </row>
    <row r="722" spans="111:111">
      <c r="DG722" s="1"/>
    </row>
    <row r="723" spans="111:111">
      <c r="DG723" s="1"/>
    </row>
    <row r="724" spans="111:111">
      <c r="DG724" s="1"/>
    </row>
    <row r="725" spans="111:111">
      <c r="DG725" s="1"/>
    </row>
    <row r="726" spans="111:111">
      <c r="DG726" s="1"/>
    </row>
    <row r="727" spans="111:111">
      <c r="DG727" s="1"/>
    </row>
    <row r="728" spans="111:111">
      <c r="DG728" s="1"/>
    </row>
    <row r="729" spans="111:111">
      <c r="DG729" s="1"/>
    </row>
    <row r="730" spans="111:111">
      <c r="DG730" s="1"/>
    </row>
    <row r="731" spans="111:111">
      <c r="DG731" s="1"/>
    </row>
    <row r="732" spans="111:111">
      <c r="DG732" s="1"/>
    </row>
    <row r="733" spans="111:111">
      <c r="DG733" s="1"/>
    </row>
    <row r="734" spans="111:111">
      <c r="DG734" s="1"/>
    </row>
    <row r="735" spans="111:111">
      <c r="DG735" s="1"/>
    </row>
    <row r="736" spans="111:111">
      <c r="DG736" s="1"/>
    </row>
    <row r="737" spans="111:111">
      <c r="DG737" s="1"/>
    </row>
    <row r="738" spans="111:111">
      <c r="DG738" s="1"/>
    </row>
    <row r="739" spans="111:111">
      <c r="DG739" s="1"/>
    </row>
    <row r="740" spans="111:111">
      <c r="DG740" s="1"/>
    </row>
    <row r="741" spans="111:111">
      <c r="DG741" s="1"/>
    </row>
    <row r="742" spans="111:111">
      <c r="DG742" s="1"/>
    </row>
    <row r="743" spans="111:111">
      <c r="DG743" s="1"/>
    </row>
    <row r="744" spans="111:111">
      <c r="DG744" s="1"/>
    </row>
    <row r="745" spans="111:111">
      <c r="DG745" s="1"/>
    </row>
    <row r="746" spans="111:111">
      <c r="DG746" s="1"/>
    </row>
    <row r="747" spans="111:111">
      <c r="DG747" s="1"/>
    </row>
    <row r="748" spans="111:111">
      <c r="DG748" s="1"/>
    </row>
    <row r="749" spans="111:111">
      <c r="DG749" s="1"/>
    </row>
    <row r="750" spans="111:111">
      <c r="DG750" s="1"/>
    </row>
    <row r="751" spans="111:111">
      <c r="DG751" s="1"/>
    </row>
    <row r="752" spans="111:111">
      <c r="DG752" s="1"/>
    </row>
    <row r="753" spans="111:111">
      <c r="DG753" s="1"/>
    </row>
    <row r="754" spans="111:111">
      <c r="DG754" s="1"/>
    </row>
    <row r="755" spans="111:111">
      <c r="DG755" s="1"/>
    </row>
    <row r="756" spans="111:111">
      <c r="DG756" s="1"/>
    </row>
    <row r="757" spans="111:111">
      <c r="DG757" s="1"/>
    </row>
    <row r="758" spans="111:111">
      <c r="DG758" s="1"/>
    </row>
    <row r="759" spans="111:111">
      <c r="DG759" s="1"/>
    </row>
    <row r="760" spans="111:111">
      <c r="DG760" s="1"/>
    </row>
    <row r="761" spans="111:111">
      <c r="DG761" s="1"/>
    </row>
    <row r="762" spans="111:111">
      <c r="DG762" s="1"/>
    </row>
    <row r="763" spans="111:111">
      <c r="DG763" s="1"/>
    </row>
    <row r="764" spans="111:111">
      <c r="DG764" s="1"/>
    </row>
    <row r="765" spans="111:111">
      <c r="DG765" s="1"/>
    </row>
    <row r="766" spans="111:111">
      <c r="DG766" s="1"/>
    </row>
    <row r="767" spans="111:111">
      <c r="DG767" s="1"/>
    </row>
    <row r="768" spans="111:111">
      <c r="DG768" s="1"/>
    </row>
    <row r="769" spans="111:111">
      <c r="DG769" s="1"/>
    </row>
    <row r="770" spans="111:111">
      <c r="DG770" s="1"/>
    </row>
    <row r="771" spans="111:111">
      <c r="DG771" s="1"/>
    </row>
    <row r="772" spans="111:111">
      <c r="DG772" s="1"/>
    </row>
    <row r="773" spans="111:111">
      <c r="DG773" s="1"/>
    </row>
    <row r="774" spans="111:111">
      <c r="DG774" s="1"/>
    </row>
    <row r="775" spans="111:111">
      <c r="DG775" s="1"/>
    </row>
    <row r="776" spans="111:111">
      <c r="DG776" s="1"/>
    </row>
    <row r="777" spans="111:111">
      <c r="DG777" s="1"/>
    </row>
    <row r="778" spans="111:111">
      <c r="DG778" s="1"/>
    </row>
    <row r="779" spans="111:111">
      <c r="DG779" s="1"/>
    </row>
    <row r="780" spans="111:111">
      <c r="DG780" s="1"/>
    </row>
    <row r="781" spans="111:111">
      <c r="DG781" s="1"/>
    </row>
    <row r="782" spans="111:111">
      <c r="DG782" s="1"/>
    </row>
    <row r="783" spans="111:111">
      <c r="DG783" s="1"/>
    </row>
    <row r="784" spans="111:111">
      <c r="DG784" s="1"/>
    </row>
    <row r="785" spans="111:111">
      <c r="DG785" s="1"/>
    </row>
    <row r="786" spans="111:111">
      <c r="DG786" s="1"/>
    </row>
    <row r="787" spans="111:111">
      <c r="DG787" s="1"/>
    </row>
    <row r="788" spans="111:111">
      <c r="DG788" s="1"/>
    </row>
    <row r="789" spans="111:111">
      <c r="DG789" s="1"/>
    </row>
    <row r="790" spans="111:111">
      <c r="DG790" s="1"/>
    </row>
    <row r="791" spans="111:111">
      <c r="DG791" s="1"/>
    </row>
    <row r="792" spans="111:111">
      <c r="DG792" s="1"/>
    </row>
    <row r="793" spans="111:111">
      <c r="DG793" s="1"/>
    </row>
    <row r="794" spans="111:111">
      <c r="DG794" s="1"/>
    </row>
    <row r="795" spans="111:111">
      <c r="DG795" s="1"/>
    </row>
    <row r="796" spans="111:111">
      <c r="DG796" s="1"/>
    </row>
    <row r="797" spans="111:111">
      <c r="DG797" s="1"/>
    </row>
    <row r="798" spans="111:111">
      <c r="DG798" s="1"/>
    </row>
    <row r="799" spans="111:111">
      <c r="DG799" s="1"/>
    </row>
    <row r="800" spans="111:111">
      <c r="DG800" s="1"/>
    </row>
    <row r="801" spans="111:111">
      <c r="DG801" s="1"/>
    </row>
    <row r="802" spans="111:111">
      <c r="DG802" s="1"/>
    </row>
    <row r="803" spans="111:111">
      <c r="DG803" s="1"/>
    </row>
    <row r="804" spans="111:111">
      <c r="DG804" s="1"/>
    </row>
    <row r="805" spans="111:111">
      <c r="DG805" s="1"/>
    </row>
    <row r="806" spans="111:111">
      <c r="DG806" s="1"/>
    </row>
    <row r="807" spans="111:111">
      <c r="DG807" s="1"/>
    </row>
    <row r="808" spans="111:111">
      <c r="DG808" s="1"/>
    </row>
    <row r="809" spans="111:111">
      <c r="DG809" s="1"/>
    </row>
    <row r="810" spans="111:111">
      <c r="DG810" s="1"/>
    </row>
    <row r="811" spans="111:111">
      <c r="DG811" s="1"/>
    </row>
    <row r="812" spans="111:111">
      <c r="DG812" s="1"/>
    </row>
    <row r="813" spans="111:111">
      <c r="DG813" s="1"/>
    </row>
    <row r="814" spans="111:111">
      <c r="DG814" s="1"/>
    </row>
    <row r="815" spans="111:111">
      <c r="DG815" s="1"/>
    </row>
    <row r="816" spans="111:111">
      <c r="DG816" s="1"/>
    </row>
    <row r="817" spans="111:111">
      <c r="DG817" s="1"/>
    </row>
    <row r="818" spans="111:111">
      <c r="DG818" s="1"/>
    </row>
    <row r="819" spans="111:111">
      <c r="DG819" s="1"/>
    </row>
    <row r="820" spans="111:111">
      <c r="DG820" s="1"/>
    </row>
    <row r="821" spans="111:111">
      <c r="DG821" s="1"/>
    </row>
    <row r="822" spans="111:111">
      <c r="DG822" s="1"/>
    </row>
    <row r="823" spans="111:111">
      <c r="DG823" s="1"/>
    </row>
    <row r="824" spans="111:111">
      <c r="DG824" s="1"/>
    </row>
    <row r="825" spans="111:111">
      <c r="DG825" s="1"/>
    </row>
    <row r="826" spans="111:111">
      <c r="DG826" s="1"/>
    </row>
    <row r="827" spans="111:111">
      <c r="DG827" s="1"/>
    </row>
    <row r="828" spans="111:111">
      <c r="DG828" s="1"/>
    </row>
    <row r="829" spans="111:111">
      <c r="DG829" s="1"/>
    </row>
    <row r="830" spans="111:111">
      <c r="DG830" s="1"/>
    </row>
    <row r="831" spans="111:111">
      <c r="DG831" s="1"/>
    </row>
    <row r="832" spans="111:111">
      <c r="DG832" s="1"/>
    </row>
    <row r="833" spans="111:111">
      <c r="DG833" s="1"/>
    </row>
    <row r="834" spans="111:111">
      <c r="DG834" s="1"/>
    </row>
    <row r="835" spans="111:111">
      <c r="DG835" s="1"/>
    </row>
    <row r="836" spans="111:111">
      <c r="DG836" s="1"/>
    </row>
    <row r="837" spans="111:111">
      <c r="DG837" s="1"/>
    </row>
    <row r="838" spans="111:111">
      <c r="DG838" s="1"/>
    </row>
    <row r="839" spans="111:111">
      <c r="DG839" s="1"/>
    </row>
    <row r="840" spans="111:111">
      <c r="DG840" s="1"/>
    </row>
    <row r="841" spans="111:111">
      <c r="DG841" s="1"/>
    </row>
    <row r="842" spans="111:111">
      <c r="DG842" s="1"/>
    </row>
    <row r="843" spans="111:111">
      <c r="DG843" s="1"/>
    </row>
    <row r="844" spans="111:111">
      <c r="DG844" s="1"/>
    </row>
    <row r="845" spans="111:111">
      <c r="DG845" s="1"/>
    </row>
    <row r="846" spans="111:111">
      <c r="DG846" s="1"/>
    </row>
    <row r="847" spans="111:111">
      <c r="DG847" s="1"/>
    </row>
    <row r="848" spans="111:111">
      <c r="DG848" s="1"/>
    </row>
    <row r="849" spans="111:111">
      <c r="DG849" s="1"/>
    </row>
    <row r="850" spans="111:111">
      <c r="DG850" s="1"/>
    </row>
    <row r="851" spans="111:111">
      <c r="DG851" s="1"/>
    </row>
    <row r="852" spans="111:111">
      <c r="DG852" s="1"/>
    </row>
    <row r="853" spans="111:111">
      <c r="DG853" s="1"/>
    </row>
    <row r="854" spans="111:111">
      <c r="DG854" s="1"/>
    </row>
    <row r="855" spans="111:111">
      <c r="DG855" s="1"/>
    </row>
    <row r="856" spans="111:111">
      <c r="DG856" s="1"/>
    </row>
    <row r="857" spans="111:111">
      <c r="DG857" s="1"/>
    </row>
    <row r="858" spans="111:111">
      <c r="DG858" s="1"/>
    </row>
    <row r="859" spans="111:111">
      <c r="DG859" s="1"/>
    </row>
    <row r="860" spans="111:111">
      <c r="DG860" s="1"/>
    </row>
    <row r="861" spans="111:111">
      <c r="DG861" s="1"/>
    </row>
    <row r="862" spans="111:111">
      <c r="DG862" s="1"/>
    </row>
    <row r="863" spans="111:111">
      <c r="DG863" s="1"/>
    </row>
    <row r="864" spans="111:111">
      <c r="DG864" s="1"/>
    </row>
    <row r="865" spans="111:111">
      <c r="DG865" s="1"/>
    </row>
    <row r="866" spans="111:111">
      <c r="DG866" s="1"/>
    </row>
    <row r="867" spans="111:111">
      <c r="DG867" s="1"/>
    </row>
    <row r="868" spans="111:111">
      <c r="DG868" s="1"/>
    </row>
    <row r="869" spans="111:111">
      <c r="DG869" s="1"/>
    </row>
    <row r="870" spans="111:111">
      <c r="DG870" s="1"/>
    </row>
    <row r="871" spans="111:111">
      <c r="DG871" s="1"/>
    </row>
    <row r="872" spans="111:111">
      <c r="DG872" s="1"/>
    </row>
    <row r="873" spans="111:111">
      <c r="DG873" s="1"/>
    </row>
    <row r="874" spans="111:111">
      <c r="DG874" s="1"/>
    </row>
    <row r="875" spans="111:111">
      <c r="DG875" s="1"/>
    </row>
    <row r="876" spans="111:111">
      <c r="DG876" s="1"/>
    </row>
    <row r="877" spans="111:111">
      <c r="DG877" s="1"/>
    </row>
    <row r="878" spans="111:111">
      <c r="DG878" s="1"/>
    </row>
    <row r="879" spans="111:111">
      <c r="DG879" s="1"/>
    </row>
    <row r="880" spans="111:111">
      <c r="DG880" s="1"/>
    </row>
    <row r="881" spans="111:111">
      <c r="DG881" s="1"/>
    </row>
    <row r="882" spans="111:111">
      <c r="DG882" s="1"/>
    </row>
    <row r="883" spans="111:111">
      <c r="DG883" s="1"/>
    </row>
    <row r="884" spans="111:111">
      <c r="DG884" s="1"/>
    </row>
    <row r="885" spans="111:111">
      <c r="DG885" s="1"/>
    </row>
    <row r="886" spans="111:111">
      <c r="DG886" s="1"/>
    </row>
    <row r="887" spans="111:111">
      <c r="DG887" s="1"/>
    </row>
    <row r="888" spans="111:111">
      <c r="DG888" s="1"/>
    </row>
    <row r="889" spans="111:111">
      <c r="DG889" s="1"/>
    </row>
    <row r="890" spans="111:111">
      <c r="DG890" s="1"/>
    </row>
    <row r="891" spans="111:111">
      <c r="DG891" s="1"/>
    </row>
    <row r="892" spans="111:111">
      <c r="DG892" s="1"/>
    </row>
    <row r="893" spans="111:111">
      <c r="DG893" s="1"/>
    </row>
    <row r="894" spans="111:111">
      <c r="DG894" s="1"/>
    </row>
    <row r="895" spans="111:111">
      <c r="DG895" s="1"/>
    </row>
    <row r="896" spans="111:111">
      <c r="DG896" s="1"/>
    </row>
    <row r="897" spans="111:111">
      <c r="DG897" s="1"/>
    </row>
    <row r="898" spans="111:111">
      <c r="DG898" s="1"/>
    </row>
    <row r="899" spans="111:111">
      <c r="DG899" s="1"/>
    </row>
    <row r="900" spans="111:111">
      <c r="DG900" s="1"/>
    </row>
    <row r="901" spans="111:111">
      <c r="DG901" s="1"/>
    </row>
    <row r="902" spans="111:111">
      <c r="DG902" s="1"/>
    </row>
    <row r="903" spans="111:111">
      <c r="DG903" s="1"/>
    </row>
    <row r="904" spans="111:111">
      <c r="DG904" s="1"/>
    </row>
    <row r="905" spans="111:111">
      <c r="DG905" s="1"/>
    </row>
    <row r="906" spans="111:111">
      <c r="DG906" s="1"/>
    </row>
    <row r="907" spans="111:111">
      <c r="DG907" s="1"/>
    </row>
    <row r="908" spans="111:111">
      <c r="DG908" s="1"/>
    </row>
    <row r="909" spans="111:111">
      <c r="DG909" s="1"/>
    </row>
    <row r="910" spans="111:111">
      <c r="DG910" s="1"/>
    </row>
    <row r="911" spans="111:111">
      <c r="DG911" s="1"/>
    </row>
    <row r="912" spans="111:111">
      <c r="DG912" s="1"/>
    </row>
    <row r="913" spans="111:111">
      <c r="DG913" s="1"/>
    </row>
    <row r="914" spans="111:111">
      <c r="DG914" s="1"/>
    </row>
    <row r="915" spans="111:111">
      <c r="DG915" s="1"/>
    </row>
    <row r="916" spans="111:111">
      <c r="DG916" s="1"/>
    </row>
    <row r="917" spans="111:111">
      <c r="DG917" s="1"/>
    </row>
    <row r="918" spans="111:111">
      <c r="DG918" s="1"/>
    </row>
    <row r="919" spans="111:111">
      <c r="DG919" s="1"/>
    </row>
    <row r="920" spans="111:111">
      <c r="DG920" s="1"/>
    </row>
    <row r="921" spans="111:111">
      <c r="DG921" s="1"/>
    </row>
    <row r="922" spans="111:111">
      <c r="DG922" s="1"/>
    </row>
    <row r="923" spans="111:111">
      <c r="DG923" s="1"/>
    </row>
    <row r="924" spans="111:111">
      <c r="DG924" s="1"/>
    </row>
    <row r="925" spans="111:111">
      <c r="DG925" s="1"/>
    </row>
    <row r="926" spans="111:111">
      <c r="DG926" s="1"/>
    </row>
    <row r="927" spans="111:111">
      <c r="DG927" s="1"/>
    </row>
    <row r="928" spans="111:111">
      <c r="DG928" s="1"/>
    </row>
    <row r="929" spans="111:111">
      <c r="DG929" s="1"/>
    </row>
    <row r="930" spans="111:111">
      <c r="DG930" s="1"/>
    </row>
    <row r="931" spans="111:111">
      <c r="DG931" s="1"/>
    </row>
    <row r="932" spans="111:111">
      <c r="DG932" s="1"/>
    </row>
    <row r="933" spans="111:111">
      <c r="DG933" s="1"/>
    </row>
    <row r="934" spans="111:111">
      <c r="DG934" s="1"/>
    </row>
    <row r="935" spans="111:111">
      <c r="DG935" s="1"/>
    </row>
    <row r="936" spans="111:111">
      <c r="DG936" s="1"/>
    </row>
    <row r="937" spans="111:111">
      <c r="DG937" s="1"/>
    </row>
    <row r="938" spans="111:111">
      <c r="DG938" s="1"/>
    </row>
    <row r="939" spans="111:111">
      <c r="DG939" s="1"/>
    </row>
    <row r="940" spans="111:111">
      <c r="DG940" s="1"/>
    </row>
    <row r="941" spans="111:111">
      <c r="DG941" s="1"/>
    </row>
    <row r="942" spans="111:111">
      <c r="DG942" s="1"/>
    </row>
    <row r="943" spans="111:111">
      <c r="DG943" s="1"/>
    </row>
    <row r="944" spans="111:111">
      <c r="DG944" s="1"/>
    </row>
    <row r="945" spans="111:111">
      <c r="DG945" s="1"/>
    </row>
    <row r="946" spans="111:111">
      <c r="DG946" s="1"/>
    </row>
    <row r="947" spans="111:111">
      <c r="DG947" s="1"/>
    </row>
    <row r="948" spans="111:111">
      <c r="DG948" s="1"/>
    </row>
    <row r="949" spans="111:111">
      <c r="DG949" s="1"/>
    </row>
    <row r="950" spans="111:111">
      <c r="DG950" s="1"/>
    </row>
    <row r="951" spans="111:111">
      <c r="DG951" s="1"/>
    </row>
    <row r="952" spans="111:111">
      <c r="DG952" s="1"/>
    </row>
    <row r="953" spans="111:111">
      <c r="DG953" s="1"/>
    </row>
    <row r="954" spans="111:111">
      <c r="DG954" s="1"/>
    </row>
    <row r="955" spans="111:111">
      <c r="DG955" s="1"/>
    </row>
    <row r="956" spans="111:111">
      <c r="DG956" s="1"/>
    </row>
    <row r="957" spans="111:111">
      <c r="DG957" s="1"/>
    </row>
    <row r="958" spans="111:111">
      <c r="DG958" s="1"/>
    </row>
    <row r="959" spans="111:111">
      <c r="DG959" s="1"/>
    </row>
    <row r="960" spans="111:111">
      <c r="DG960" s="1"/>
    </row>
    <row r="961" spans="111:111">
      <c r="DG961" s="1"/>
    </row>
    <row r="962" spans="111:111">
      <c r="DG962" s="1"/>
    </row>
    <row r="963" spans="111:111">
      <c r="DG963" s="1"/>
    </row>
    <row r="964" spans="111:111">
      <c r="DG964" s="1"/>
    </row>
    <row r="965" spans="111:111">
      <c r="DG965" s="1"/>
    </row>
    <row r="966" spans="111:111">
      <c r="DG966" s="1"/>
    </row>
    <row r="967" spans="111:111">
      <c r="DG967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A1:Z1093"/>
  <sheetViews>
    <sheetView showGridLines="0" tabSelected="1" workbookViewId="0"/>
  </sheetViews>
  <sheetFormatPr defaultColWidth="14.453125" defaultRowHeight="15" customHeight="1"/>
  <cols>
    <col min="1" max="1" width="14.453125" style="35"/>
    <col min="2" max="2" width="56.81640625" style="35" customWidth="1"/>
    <col min="3" max="3" width="28.453125" style="35" customWidth="1"/>
    <col min="4" max="4" width="26.54296875" style="35" customWidth="1"/>
    <col min="5" max="5" width="20" style="35" customWidth="1"/>
    <col min="6" max="6" width="28.81640625" style="35" customWidth="1"/>
    <col min="7" max="9" width="14.453125" style="35"/>
    <col min="10" max="10" width="16.453125" style="35" customWidth="1"/>
    <col min="11" max="11" width="30.26953125" style="35" customWidth="1"/>
    <col min="12" max="16384" width="14.453125" style="35"/>
  </cols>
  <sheetData>
    <row r="1" spans="1:26" ht="15.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.5">
      <c r="A2" s="36">
        <f>IFERROR(VLOOKUP(C2,ISB!C:DI,111,0),0)</f>
        <v>0</v>
      </c>
      <c r="B2" s="37" t="s">
        <v>290</v>
      </c>
      <c r="C2" s="107"/>
      <c r="D2" s="34"/>
      <c r="E2" s="34"/>
      <c r="F2" s="34"/>
      <c r="G2" s="34"/>
      <c r="H2" s="34"/>
      <c r="I2" s="34"/>
      <c r="J2" s="34"/>
      <c r="K2" s="38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.5">
      <c r="A3" s="36">
        <f>IF(ISERROR(VLOOKUP(C2&amp;"-"&amp;C3,ISB!A:A,1,0)),0,1)</f>
        <v>0</v>
      </c>
      <c r="B3" s="37" t="s">
        <v>291</v>
      </c>
      <c r="C3" s="108"/>
      <c r="D3" s="34"/>
      <c r="E3" s="34"/>
      <c r="F3" s="34"/>
      <c r="G3" s="34"/>
      <c r="H3" s="34"/>
      <c r="I3" s="34"/>
      <c r="J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5">
      <c r="A4" s="34"/>
      <c r="B4" s="34"/>
      <c r="C4" s="34"/>
      <c r="D4" s="34"/>
      <c r="E4" s="34"/>
      <c r="F4" s="34"/>
      <c r="G4" s="34"/>
      <c r="H4" s="34"/>
      <c r="I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5.5">
      <c r="A5" s="34"/>
      <c r="B5" s="34"/>
      <c r="C5" s="34"/>
      <c r="D5" s="34"/>
      <c r="E5" s="34"/>
      <c r="F5" s="34"/>
      <c r="G5" s="34"/>
      <c r="H5" s="34"/>
      <c r="I5" s="34"/>
      <c r="J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35.25" customHeight="1">
      <c r="A6" s="34"/>
      <c r="B6" s="39" t="str">
        <f>IFERROR(VLOOKUP(C2,ISB!C:D,2,0),"")</f>
        <v/>
      </c>
      <c r="C6" s="34"/>
      <c r="D6" s="34"/>
      <c r="E6" s="34"/>
      <c r="F6" s="34"/>
      <c r="G6" s="34"/>
      <c r="H6" s="34"/>
      <c r="I6" s="34"/>
      <c r="J6" s="34"/>
      <c r="K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5.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.5">
      <c r="A8" s="34"/>
      <c r="B8" s="34"/>
      <c r="C8" s="34"/>
      <c r="D8" s="34"/>
      <c r="E8" s="34"/>
      <c r="F8" s="34"/>
      <c r="G8" s="34"/>
      <c r="I8" s="34"/>
      <c r="J8" s="34"/>
      <c r="K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.5">
      <c r="A9" s="34"/>
      <c r="B9" s="41" t="s">
        <v>292</v>
      </c>
      <c r="C9" s="42"/>
      <c r="D9" s="42"/>
      <c r="E9" s="42"/>
      <c r="F9" s="43"/>
      <c r="G9" s="34"/>
      <c r="H9" s="41" t="s">
        <v>293</v>
      </c>
      <c r="I9" s="43"/>
      <c r="J9" s="34"/>
      <c r="K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5">
      <c r="A10" s="34"/>
      <c r="B10" s="44"/>
      <c r="C10" s="34"/>
      <c r="D10" s="34"/>
      <c r="E10" s="34"/>
      <c r="F10" s="45"/>
      <c r="G10" s="34"/>
      <c r="H10" s="46" t="s">
        <v>294</v>
      </c>
      <c r="I10" s="45"/>
      <c r="J10" s="34"/>
      <c r="K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5">
      <c r="A11" s="34"/>
      <c r="B11" s="46" t="s">
        <v>295</v>
      </c>
      <c r="C11" s="34"/>
      <c r="D11" s="34"/>
      <c r="E11" s="34"/>
      <c r="F11" s="45"/>
      <c r="G11" s="34"/>
      <c r="H11" s="44"/>
      <c r="I11" s="45"/>
      <c r="J11" s="34"/>
      <c r="K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5">
      <c r="A12" s="34"/>
      <c r="B12" s="44"/>
      <c r="C12" s="34"/>
      <c r="D12" s="37" t="s">
        <v>296</v>
      </c>
      <c r="E12" s="37" t="s">
        <v>297</v>
      </c>
      <c r="F12" s="47" t="s">
        <v>298</v>
      </c>
      <c r="G12" s="34"/>
      <c r="H12" s="44"/>
      <c r="I12" s="45"/>
      <c r="J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5">
      <c r="A13" s="34"/>
      <c r="B13" s="44" t="s">
        <v>299</v>
      </c>
      <c r="C13" s="34" t="s">
        <v>0</v>
      </c>
      <c r="D13" s="48">
        <f>IFERROR(VLOOKUP(C2,ISB!C:DI,4,0)*A3,0)</f>
        <v>0</v>
      </c>
      <c r="E13" s="49">
        <f>4617*A3</f>
        <v>0</v>
      </c>
      <c r="F13" s="50">
        <f t="shared" ref="F13:F27" si="0">D13*E13</f>
        <v>0</v>
      </c>
      <c r="G13" s="34"/>
      <c r="H13" s="51">
        <v>0.17</v>
      </c>
      <c r="I13" s="50">
        <f t="shared" ref="I13:I28" si="1">F13*H13</f>
        <v>0</v>
      </c>
      <c r="J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5.5">
      <c r="A14" s="34"/>
      <c r="B14" s="44"/>
      <c r="C14" s="34" t="s">
        <v>300</v>
      </c>
      <c r="D14" s="48">
        <f>IFERROR(VLOOKUP(C2,ISB!C:DI,8,0)*A3,0)</f>
        <v>0</v>
      </c>
      <c r="E14" s="49">
        <f>6503*A3</f>
        <v>0</v>
      </c>
      <c r="F14" s="50">
        <f t="shared" si="0"/>
        <v>0</v>
      </c>
      <c r="G14" s="34"/>
      <c r="H14" s="51">
        <v>0.17</v>
      </c>
      <c r="I14" s="50">
        <f t="shared" si="1"/>
        <v>0</v>
      </c>
      <c r="J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5.5">
      <c r="A15" s="34"/>
      <c r="B15" s="44"/>
      <c r="C15" s="34" t="s">
        <v>22</v>
      </c>
      <c r="D15" s="48">
        <f>IFERROR(VLOOKUP(C2,ISB!C:DI,9,0)*A3,0)</f>
        <v>0</v>
      </c>
      <c r="E15" s="49">
        <f>6961*A3</f>
        <v>0</v>
      </c>
      <c r="F15" s="50">
        <f t="shared" si="0"/>
        <v>0</v>
      </c>
      <c r="G15" s="34"/>
      <c r="H15" s="51">
        <v>0.17</v>
      </c>
      <c r="I15" s="50">
        <f t="shared" si="1"/>
        <v>0</v>
      </c>
      <c r="J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.5">
      <c r="A16" s="34"/>
      <c r="B16" s="52" t="s">
        <v>301</v>
      </c>
      <c r="C16" s="34"/>
      <c r="D16" s="48">
        <f>IFERROR(VLOOKUP(C2,ISB!C:DI,14,0)*A3,0)+IFERROR(VLOOKUP(C2,ISB!C:DI,15,0)*A3,0)</f>
        <v>0</v>
      </c>
      <c r="E16" s="49">
        <f>570.68*A3</f>
        <v>0</v>
      </c>
      <c r="F16" s="50">
        <f t="shared" si="0"/>
        <v>0</v>
      </c>
      <c r="G16" s="34"/>
      <c r="H16" s="51">
        <v>0</v>
      </c>
      <c r="I16" s="50">
        <f t="shared" si="1"/>
        <v>0</v>
      </c>
      <c r="J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5">
      <c r="A17" s="34"/>
      <c r="B17" s="44" t="s">
        <v>302</v>
      </c>
      <c r="C17" s="34"/>
      <c r="D17" s="48">
        <f>IFERROR(VLOOKUP(C2,ISB!C:DI,19,0)*A3,0)+IFERROR(VLOOKUP(C2,ISB!C:DI,20,0)*A3,0)</f>
        <v>0</v>
      </c>
      <c r="E17" s="49">
        <f>IF(A2=0,0,IF(A2=1,838.19,IF(A2=2,1224.59,0)))</f>
        <v>0</v>
      </c>
      <c r="F17" s="50">
        <f t="shared" si="0"/>
        <v>0</v>
      </c>
      <c r="G17" s="34"/>
      <c r="H17" s="51">
        <v>1</v>
      </c>
      <c r="I17" s="50">
        <f t="shared" si="1"/>
        <v>0</v>
      </c>
      <c r="J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5">
      <c r="A18" s="34"/>
      <c r="B18" s="44" t="s">
        <v>303</v>
      </c>
      <c r="C18" s="34" t="s">
        <v>304</v>
      </c>
      <c r="D18" s="48">
        <f>IFERROR(VLOOKUP(C2,ISB!C:DI,28,0)*A3,0)+IFERROR(VLOOKUP(C2,ISB!C:DI,46,0)*A3,0)</f>
        <v>0</v>
      </c>
      <c r="E18" s="49">
        <f>IF(A2=0,0,IF(A2=1,273.45,IF(A2=2,398.29,0)))</f>
        <v>0</v>
      </c>
      <c r="F18" s="50">
        <f t="shared" si="0"/>
        <v>0</v>
      </c>
      <c r="G18" s="34"/>
      <c r="H18" s="51">
        <v>1</v>
      </c>
      <c r="I18" s="50">
        <f t="shared" si="1"/>
        <v>0</v>
      </c>
      <c r="J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5">
      <c r="A19" s="34"/>
      <c r="B19" s="44"/>
      <c r="C19" s="34" t="s">
        <v>305</v>
      </c>
      <c r="D19" s="48">
        <f>IFERROR(VLOOKUP(C2,ISB!C:DI,29,0)*A3,0)+IFERROR(VLOOKUP(C2,ISB!C:DI,47,0)*A3,0)</f>
        <v>0</v>
      </c>
      <c r="E19" s="49">
        <f>IF(A2=0,0,IF(A2=1,332.9,IF(A2=2,529.07,0)))</f>
        <v>0</v>
      </c>
      <c r="F19" s="50">
        <f t="shared" si="0"/>
        <v>0</v>
      </c>
      <c r="G19" s="34"/>
      <c r="H19" s="51">
        <v>1</v>
      </c>
      <c r="I19" s="50">
        <f t="shared" si="1"/>
        <v>0</v>
      </c>
      <c r="J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5">
      <c r="A20" s="34"/>
      <c r="B20" s="44"/>
      <c r="C20" s="34" t="s">
        <v>306</v>
      </c>
      <c r="D20" s="48">
        <f>IFERROR(VLOOKUP(C2,ISB!C:DI,30,0)*A3,0)+IFERROR(VLOOKUP(C2,ISB!C:DI,48,0)*A3,0)</f>
        <v>0</v>
      </c>
      <c r="E20" s="49">
        <f>IF(A2=0,0,IF(A2=1,523.12,IF(A2=2,737.13,0)))</f>
        <v>0</v>
      </c>
      <c r="F20" s="50">
        <f t="shared" si="0"/>
        <v>0</v>
      </c>
      <c r="G20" s="34"/>
      <c r="H20" s="51">
        <v>1</v>
      </c>
      <c r="I20" s="50">
        <f t="shared" si="1"/>
        <v>0</v>
      </c>
      <c r="J20" s="34"/>
      <c r="K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5">
      <c r="A21" s="34"/>
      <c r="B21" s="44"/>
      <c r="C21" s="34" t="s">
        <v>307</v>
      </c>
      <c r="D21" s="48">
        <f>IFERROR(VLOOKUP(C2,ISB!C:DI,31,0)*A3,0)+IFERROR(VLOOKUP(C2,ISB!C:DI,49,0)*A3,0)</f>
        <v>0</v>
      </c>
      <c r="E21" s="49">
        <f>IF(A2=0,0,IF(A2=1,570.68,IF(A2=2,808.47,0)))</f>
        <v>0</v>
      </c>
      <c r="F21" s="50">
        <f t="shared" si="0"/>
        <v>0</v>
      </c>
      <c r="G21" s="34"/>
      <c r="H21" s="51">
        <v>1</v>
      </c>
      <c r="I21" s="50">
        <f t="shared" si="1"/>
        <v>0</v>
      </c>
      <c r="J21" s="34"/>
      <c r="K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5">
      <c r="A22" s="34"/>
      <c r="B22" s="44"/>
      <c r="C22" s="34" t="s">
        <v>308</v>
      </c>
      <c r="D22" s="48">
        <f>IFERROR(VLOOKUP(C2,ISB!C:DI,32,0)*A3,0)+IFERROR(VLOOKUP(C2,ISB!C:DI,50,0)*A3,0)</f>
        <v>0</v>
      </c>
      <c r="E22" s="49">
        <f>IF(A2=0,0,IF(A2=1,606.35,IF(A2=2,867.91,0)))</f>
        <v>0</v>
      </c>
      <c r="F22" s="50">
        <f t="shared" si="0"/>
        <v>0</v>
      </c>
      <c r="G22" s="34"/>
      <c r="H22" s="51">
        <v>1</v>
      </c>
      <c r="I22" s="50">
        <f t="shared" si="1"/>
        <v>0</v>
      </c>
      <c r="J22" s="34"/>
      <c r="K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5">
      <c r="A23" s="34"/>
      <c r="B23" s="44"/>
      <c r="C23" s="34" t="s">
        <v>309</v>
      </c>
      <c r="D23" s="48">
        <f>IFERROR(VLOOKUP(C2,ISB!C:DI,33,0)*A3,0)+IFERROR(VLOOKUP(C2,ISB!C:DI,51,0)*A3,0)</f>
        <v>0</v>
      </c>
      <c r="E23" s="49">
        <f>IF(A2=0,0,IF(A2=1,796.58,IF(A2=2,1105.7,0)))</f>
        <v>0</v>
      </c>
      <c r="F23" s="50">
        <f t="shared" si="0"/>
        <v>0</v>
      </c>
      <c r="G23" s="34"/>
      <c r="H23" s="51">
        <v>1</v>
      </c>
      <c r="I23" s="50">
        <f t="shared" si="1"/>
        <v>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5">
      <c r="A24" s="34"/>
      <c r="B24" s="44" t="s">
        <v>310</v>
      </c>
      <c r="C24" s="34"/>
      <c r="D24" s="48">
        <f>IFERROR(VLOOKUP(C2,ISB!C:DI,61,0)*A3,0)+IFERROR(VLOOKUP(C2,ISB!C:DI,62,0)*A3,0)</f>
        <v>0</v>
      </c>
      <c r="E24" s="49">
        <f>IF(A2=0,0,IF(A2=1,689.57,IF(A2=2,1860.66,0)))</f>
        <v>0</v>
      </c>
      <c r="F24" s="50">
        <f t="shared" si="0"/>
        <v>0</v>
      </c>
      <c r="G24" s="34"/>
      <c r="H24" s="51">
        <v>1</v>
      </c>
      <c r="I24" s="50">
        <f t="shared" si="1"/>
        <v>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5">
      <c r="A25" s="34"/>
      <c r="B25" s="44" t="s">
        <v>311</v>
      </c>
      <c r="C25" s="34"/>
      <c r="D25" s="48">
        <f>IFERROR(VLOOKUP(C2,ISB!C:DI,65,0)*A3,0)+IFERROR(VLOOKUP(C2,ISB!C:DI,77,0)*A3,0)</f>
        <v>0</v>
      </c>
      <c r="E25" s="49">
        <f>IF(A2=0,0,IF(A2=1,1373.2,IF(A2=2,2080.61,0)))</f>
        <v>0</v>
      </c>
      <c r="F25" s="50">
        <f t="shared" si="0"/>
        <v>0</v>
      </c>
      <c r="G25" s="34"/>
      <c r="H25" s="51">
        <v>1</v>
      </c>
      <c r="I25" s="50">
        <f t="shared" si="1"/>
        <v>0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5">
      <c r="A26" s="34"/>
      <c r="B26" s="44" t="s">
        <v>104</v>
      </c>
      <c r="C26" s="34"/>
      <c r="D26" s="48">
        <f>IFERROR(VLOOKUP(C2,ISB!C:DI,81,0)*A3,0)+IFERROR(VLOOKUP(C2,ISB!C:DI,82,0)*A3,0)</f>
        <v>0</v>
      </c>
      <c r="E26" s="49">
        <f>IF(A2=0,0,IF(A2=1,1123.53,IF(A2=2,1616.93,0)))</f>
        <v>0</v>
      </c>
      <c r="F26" s="50">
        <f t="shared" si="0"/>
        <v>0</v>
      </c>
      <c r="G26" s="34"/>
      <c r="H26" s="51">
        <v>1</v>
      </c>
      <c r="I26" s="50">
        <f t="shared" si="1"/>
        <v>0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5">
      <c r="A27" s="34"/>
      <c r="B27" s="44" t="s">
        <v>105</v>
      </c>
      <c r="C27" s="34"/>
      <c r="D27" s="48">
        <f>1*A3</f>
        <v>0</v>
      </c>
      <c r="E27" s="49">
        <f>152181.76*A3</f>
        <v>0</v>
      </c>
      <c r="F27" s="50">
        <f t="shared" si="0"/>
        <v>0</v>
      </c>
      <c r="G27" s="34"/>
      <c r="H27" s="51">
        <v>0</v>
      </c>
      <c r="I27" s="50">
        <f t="shared" si="1"/>
        <v>0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5">
      <c r="A28" s="34"/>
      <c r="B28" s="44" t="s">
        <v>312</v>
      </c>
      <c r="C28" s="34"/>
      <c r="D28" s="34"/>
      <c r="E28" s="34"/>
      <c r="F28" s="50">
        <f>IFERROR(VLOOKUP(C2,ISB!C:DI,85,0)*A3,0)</f>
        <v>0</v>
      </c>
      <c r="G28" s="34"/>
      <c r="H28" s="51">
        <v>0</v>
      </c>
      <c r="I28" s="50">
        <f t="shared" si="1"/>
        <v>0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5">
      <c r="A29" s="34"/>
      <c r="B29" s="44"/>
      <c r="C29" s="34"/>
      <c r="D29" s="34"/>
      <c r="E29" s="34"/>
      <c r="F29" s="45"/>
      <c r="G29" s="34"/>
      <c r="H29" s="44"/>
      <c r="I29" s="4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5">
      <c r="A30" s="34"/>
      <c r="B30" s="46" t="s">
        <v>313</v>
      </c>
      <c r="C30" s="34"/>
      <c r="D30" s="34"/>
      <c r="E30" s="34"/>
      <c r="F30" s="109">
        <f>SUM(F13:F28)</f>
        <v>0</v>
      </c>
      <c r="G30" s="34"/>
      <c r="H30" s="53"/>
      <c r="I30" s="54">
        <f>SUM(I13:I28)</f>
        <v>0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5">
      <c r="A31" s="34"/>
      <c r="B31" s="44"/>
      <c r="C31" s="34"/>
      <c r="D31" s="34"/>
      <c r="E31" s="34"/>
      <c r="F31" s="45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5">
      <c r="A32" s="34"/>
      <c r="B32" s="46" t="s">
        <v>314</v>
      </c>
      <c r="C32" s="34"/>
      <c r="D32" s="34"/>
      <c r="E32" s="34"/>
      <c r="F32" s="45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5">
      <c r="A33" s="34"/>
      <c r="B33" s="44"/>
      <c r="C33" s="34"/>
      <c r="D33" s="34"/>
      <c r="E33" s="34"/>
      <c r="F33" s="45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5">
      <c r="A34" s="34"/>
      <c r="B34" s="44" t="s">
        <v>315</v>
      </c>
      <c r="C34" s="34"/>
      <c r="D34" s="34"/>
      <c r="E34" s="34"/>
      <c r="F34" s="50">
        <f>IFERROR(VLOOKUP(C2,ISB!C:DI,88,0)*A3,0)</f>
        <v>0</v>
      </c>
      <c r="G34" s="34"/>
      <c r="H34" s="55" t="s">
        <v>316</v>
      </c>
      <c r="I34" s="56"/>
      <c r="J34" s="49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5">
      <c r="A35" s="34"/>
      <c r="B35" s="44" t="s">
        <v>317</v>
      </c>
      <c r="C35" s="34"/>
      <c r="D35" s="34"/>
      <c r="E35" s="34"/>
      <c r="F35" s="50">
        <f>IFERROR(VLOOKUP(C2,ISB!C:DI,89,0)*A3,0)</f>
        <v>0</v>
      </c>
      <c r="G35" s="34"/>
      <c r="H35" s="57" t="s">
        <v>318</v>
      </c>
      <c r="I35" s="58"/>
      <c r="J35" s="49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5">
      <c r="A36" s="34"/>
      <c r="B36" s="44" t="s">
        <v>319</v>
      </c>
      <c r="C36" s="34"/>
      <c r="D36" s="34"/>
      <c r="E36" s="34"/>
      <c r="F36" s="50">
        <f>IFERROR(VLOOKUP(C2,ISB!C:DI,90,0)*A3,0)</f>
        <v>0</v>
      </c>
      <c r="G36" s="34"/>
      <c r="H36" s="57" t="s">
        <v>320</v>
      </c>
      <c r="I36" s="58"/>
      <c r="J36" s="49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5">
      <c r="A37" s="34"/>
      <c r="B37" s="44" t="s">
        <v>321</v>
      </c>
      <c r="C37" s="34"/>
      <c r="D37" s="34"/>
      <c r="E37" s="34"/>
      <c r="F37" s="50">
        <f>IFERROR(VLOOKUP(C2,ISB!C:DI,91,0)*A3,0)</f>
        <v>0</v>
      </c>
      <c r="G37" s="34"/>
      <c r="H37" s="57" t="s">
        <v>322</v>
      </c>
      <c r="I37" s="58"/>
      <c r="J37" s="49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5">
      <c r="A38" s="34"/>
      <c r="B38" s="44" t="s">
        <v>323</v>
      </c>
      <c r="C38" s="34"/>
      <c r="D38" s="34"/>
      <c r="E38" s="34"/>
      <c r="F38" s="50">
        <f>IFERROR(VLOOKUP(C2,ISB!C:DI,92,0)*A3,0)</f>
        <v>0</v>
      </c>
      <c r="G38" s="34"/>
      <c r="H38" s="57" t="s">
        <v>324</v>
      </c>
      <c r="I38" s="59" t="s">
        <v>325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5">
      <c r="A39" s="34"/>
      <c r="B39" s="52" t="s">
        <v>326</v>
      </c>
      <c r="C39" s="34"/>
      <c r="D39" s="34"/>
      <c r="E39" s="34"/>
      <c r="F39" s="60">
        <f>IFERROR(VLOOKUP(C2,ISB!C:DI,93,0)*A3,0)</f>
        <v>0</v>
      </c>
      <c r="G39" s="34"/>
      <c r="H39" s="57" t="s">
        <v>327</v>
      </c>
      <c r="I39" s="58"/>
      <c r="J39" s="49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5">
      <c r="A40" s="34"/>
      <c r="B40" s="44" t="s">
        <v>328</v>
      </c>
      <c r="C40" s="34"/>
      <c r="D40" s="34"/>
      <c r="E40" s="34"/>
      <c r="F40" s="50">
        <f>IFERROR(VLOOKUP(C2,ISB!C:DI,94,0)*A3,0)</f>
        <v>0</v>
      </c>
      <c r="G40" s="34"/>
      <c r="H40" s="57" t="s">
        <v>329</v>
      </c>
      <c r="I40" s="59" t="s">
        <v>330</v>
      </c>
      <c r="J40" s="49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5">
      <c r="A41" s="34"/>
      <c r="B41" s="44" t="s">
        <v>331</v>
      </c>
      <c r="C41" s="34"/>
      <c r="D41" s="34"/>
      <c r="E41" s="34"/>
      <c r="F41" s="50">
        <f>IFERROR(VLOOKUP(C2,ISB!C:DI,95,0)*A3,0)</f>
        <v>0</v>
      </c>
      <c r="G41" s="34"/>
      <c r="H41" s="57" t="s">
        <v>332</v>
      </c>
      <c r="I41" s="59" t="s">
        <v>333</v>
      </c>
      <c r="J41" s="49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5">
      <c r="A42" s="34"/>
      <c r="B42" s="44" t="s">
        <v>334</v>
      </c>
      <c r="C42" s="34"/>
      <c r="D42" s="34"/>
      <c r="E42" s="34"/>
      <c r="F42" s="60">
        <f>IFERROR(VLOOKUP(C2,ISB!C:DI,3,0)*A3,0)</f>
        <v>0</v>
      </c>
      <c r="G42" s="34"/>
      <c r="H42" s="57" t="s">
        <v>335</v>
      </c>
      <c r="I42" s="58"/>
      <c r="J42" s="49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5">
      <c r="A43" s="34"/>
      <c r="B43" s="44" t="s">
        <v>336</v>
      </c>
      <c r="C43" s="34"/>
      <c r="D43" s="34"/>
      <c r="E43" s="34"/>
      <c r="F43" s="50">
        <f>IFERROR(VLOOKUP(C2,ISB!C:DI,96,0)*A3,0)</f>
        <v>0</v>
      </c>
      <c r="G43" s="34"/>
      <c r="H43" s="57" t="s">
        <v>337</v>
      </c>
      <c r="I43" s="59" t="s">
        <v>338</v>
      </c>
      <c r="J43" s="49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5">
      <c r="A44" s="34"/>
      <c r="B44" s="52" t="s">
        <v>339</v>
      </c>
      <c r="C44" s="34"/>
      <c r="D44" s="34"/>
      <c r="E44" s="34"/>
      <c r="F44" s="50">
        <f>IFERROR(VLOOKUP(C2,ISB!C:DI,97,0)*A3,0)</f>
        <v>0</v>
      </c>
      <c r="G44" s="34"/>
      <c r="H44" s="57" t="s">
        <v>340</v>
      </c>
      <c r="I44" s="58"/>
      <c r="J44" s="49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5">
      <c r="A45" s="34"/>
      <c r="B45" s="52" t="s">
        <v>341</v>
      </c>
      <c r="C45" s="34"/>
      <c r="D45" s="34"/>
      <c r="E45" s="34"/>
      <c r="F45" s="50">
        <f>IFERROR(VLOOKUP(C2,ISB!C:DI,98,0)*A3,0)</f>
        <v>0</v>
      </c>
      <c r="G45" s="34"/>
      <c r="H45" s="57" t="s">
        <v>342</v>
      </c>
      <c r="I45" s="58"/>
      <c r="J45" s="49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5">
      <c r="A46" s="34"/>
      <c r="B46" s="44"/>
      <c r="C46" s="34"/>
      <c r="D46" s="34"/>
      <c r="E46" s="34"/>
      <c r="F46" s="45"/>
      <c r="G46" s="34"/>
      <c r="H46" s="57"/>
      <c r="I46" s="5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5">
      <c r="A47" s="34"/>
      <c r="B47" s="46" t="s">
        <v>6</v>
      </c>
      <c r="C47" s="34"/>
      <c r="D47" s="34"/>
      <c r="E47" s="34"/>
      <c r="F47" s="109">
        <f>IFERROR(VLOOKUP(C2,ISB!C:DI,99,0)*A3,0)</f>
        <v>0</v>
      </c>
      <c r="G47" s="34"/>
      <c r="H47" s="61" t="s">
        <v>343</v>
      </c>
      <c r="I47" s="62" t="s">
        <v>344</v>
      </c>
      <c r="J47" s="49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5">
      <c r="A48" s="34"/>
      <c r="B48" s="44"/>
      <c r="C48" s="34"/>
      <c r="D48" s="34"/>
      <c r="E48" s="34"/>
      <c r="F48" s="110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5">
      <c r="A49" s="34"/>
      <c r="B49" s="46" t="s">
        <v>345</v>
      </c>
      <c r="C49" s="34"/>
      <c r="D49" s="34"/>
      <c r="E49" s="34"/>
      <c r="F49" s="109">
        <f>MAX(F30,F47)</f>
        <v>0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5">
      <c r="A50" s="34"/>
      <c r="B50" s="44"/>
      <c r="C50" s="34"/>
      <c r="D50" s="34"/>
      <c r="E50" s="34"/>
      <c r="F50" s="45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5">
      <c r="A51" s="34"/>
      <c r="B51" s="46" t="s">
        <v>8</v>
      </c>
      <c r="C51" s="34"/>
      <c r="D51" s="34"/>
      <c r="E51" s="34"/>
      <c r="F51" s="45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5">
      <c r="A52" s="34"/>
      <c r="B52" s="44"/>
      <c r="C52" s="34"/>
      <c r="D52" s="37" t="s">
        <v>346</v>
      </c>
      <c r="E52" s="37" t="s">
        <v>297</v>
      </c>
      <c r="F52" s="47" t="s">
        <v>8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5">
      <c r="A53" s="34"/>
      <c r="B53" s="63" t="s">
        <v>347</v>
      </c>
      <c r="C53" s="34"/>
      <c r="D53" s="64">
        <f>D13+D14+D15</f>
        <v>0</v>
      </c>
      <c r="E53" s="49">
        <v>12.02</v>
      </c>
      <c r="F53" s="65">
        <f t="shared" ref="F53:F58" si="2">D53*E53</f>
        <v>0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5">
      <c r="A54" s="34"/>
      <c r="B54" s="63" t="s">
        <v>348</v>
      </c>
      <c r="C54" s="34"/>
      <c r="D54" s="64">
        <f>D24</f>
        <v>0</v>
      </c>
      <c r="E54" s="49">
        <v>86</v>
      </c>
      <c r="F54" s="65">
        <f t="shared" si="2"/>
        <v>0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5">
      <c r="A55" s="34"/>
      <c r="B55" s="63" t="s">
        <v>349</v>
      </c>
      <c r="C55" s="34"/>
      <c r="D55" s="64">
        <f>D13+D14+D15</f>
        <v>0</v>
      </c>
      <c r="E55" s="49">
        <v>3.38</v>
      </c>
      <c r="F55" s="65">
        <f t="shared" si="2"/>
        <v>0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5">
      <c r="A56" s="34"/>
      <c r="B56" s="63" t="s">
        <v>350</v>
      </c>
      <c r="C56" s="34"/>
      <c r="D56" s="64">
        <f>D13+D14+D15</f>
        <v>0</v>
      </c>
      <c r="E56" s="49">
        <v>3.02</v>
      </c>
      <c r="F56" s="65">
        <f t="shared" si="2"/>
        <v>0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5">
      <c r="A57" s="34"/>
      <c r="B57" s="63" t="s">
        <v>351</v>
      </c>
      <c r="C57" s="34"/>
      <c r="D57" s="64">
        <f>D13+D14+D15</f>
        <v>0</v>
      </c>
      <c r="E57" s="66">
        <v>8.8000000000000007</v>
      </c>
      <c r="F57" s="65">
        <f t="shared" si="2"/>
        <v>0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5">
      <c r="A58" s="34"/>
      <c r="B58" s="63" t="s">
        <v>352</v>
      </c>
      <c r="C58" s="34"/>
      <c r="D58" s="64">
        <f>D13+D14+D15</f>
        <v>0</v>
      </c>
      <c r="E58" s="49">
        <v>26.1</v>
      </c>
      <c r="F58" s="65">
        <f t="shared" si="2"/>
        <v>0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5">
      <c r="A59" s="34"/>
      <c r="B59" s="44"/>
      <c r="C59" s="34"/>
      <c r="D59" s="34"/>
      <c r="E59" s="34"/>
      <c r="F59" s="45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5">
      <c r="A60" s="34"/>
      <c r="B60" s="46" t="s">
        <v>353</v>
      </c>
      <c r="C60" s="34"/>
      <c r="D60" s="34"/>
      <c r="E60" s="34"/>
      <c r="F60" s="109">
        <f>SUM(F53:F58)</f>
        <v>0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5">
      <c r="A61" s="34"/>
      <c r="B61" s="44"/>
      <c r="C61" s="34"/>
      <c r="D61" s="34"/>
      <c r="E61" s="34"/>
      <c r="F61" s="110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5">
      <c r="A62" s="34"/>
      <c r="B62" s="67" t="s">
        <v>354</v>
      </c>
      <c r="C62" s="68"/>
      <c r="D62" s="68"/>
      <c r="E62" s="68"/>
      <c r="F62" s="111">
        <f>F49-F60</f>
        <v>0</v>
      </c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5">
      <c r="A63" s="34"/>
      <c r="B63" s="34"/>
      <c r="C63" s="34"/>
      <c r="D63" s="34"/>
      <c r="E63" s="34"/>
      <c r="F63" s="112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5">
      <c r="A64" s="34"/>
      <c r="B64" s="41" t="s">
        <v>355</v>
      </c>
      <c r="C64" s="42"/>
      <c r="D64" s="42"/>
      <c r="E64" s="42"/>
      <c r="F64" s="11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5">
      <c r="A65" s="34"/>
      <c r="B65" s="44"/>
      <c r="C65" s="34"/>
      <c r="D65" s="34"/>
      <c r="E65" s="34"/>
      <c r="F65" s="110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5">
      <c r="A66" s="34"/>
      <c r="B66" s="44" t="s">
        <v>128</v>
      </c>
      <c r="C66" s="34"/>
      <c r="D66" s="34"/>
      <c r="E66" s="34"/>
      <c r="F66" s="114">
        <f>IFERROR(VLOOKUP(C2,ISB!C:DO,112,0)*A3,0)</f>
        <v>0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5">
      <c r="A67" s="34"/>
      <c r="B67" s="44" t="s">
        <v>129</v>
      </c>
      <c r="C67" s="34"/>
      <c r="D67" s="34"/>
      <c r="E67" s="34"/>
      <c r="F67" s="114">
        <f>IFERROR(VLOOKUP(C2,ISB!C:DO,113,0)*A3,0)</f>
        <v>0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5">
      <c r="A68" s="34"/>
      <c r="B68" s="44" t="s">
        <v>130</v>
      </c>
      <c r="C68" s="34"/>
      <c r="D68" s="34"/>
      <c r="E68" s="34"/>
      <c r="F68" s="114">
        <f>IFERROR(VLOOKUP(C2,ISB!C:DO,114,0)*A3,0)</f>
        <v>0</v>
      </c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5">
      <c r="A69" s="34"/>
      <c r="B69" s="44" t="s">
        <v>131</v>
      </c>
      <c r="C69" s="34"/>
      <c r="D69" s="34"/>
      <c r="E69" s="34"/>
      <c r="F69" s="114">
        <f>IFERROR(VLOOKUP(C2,ISB!C:DO,115,0)*A3,0)</f>
        <v>0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5">
      <c r="A70" s="34"/>
      <c r="B70" s="44" t="s">
        <v>132</v>
      </c>
      <c r="C70" s="34"/>
      <c r="D70" s="34"/>
      <c r="E70" s="34"/>
      <c r="F70" s="114">
        <f>IFERROR(VLOOKUP(C2,ISB!C:DO,116,0)*A3,0)</f>
        <v>0</v>
      </c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5">
      <c r="A71" s="34"/>
      <c r="B71" s="46" t="s">
        <v>133</v>
      </c>
      <c r="C71" s="34"/>
      <c r="D71" s="34"/>
      <c r="E71" s="34"/>
      <c r="F71" s="115">
        <f>IFERROR(VLOOKUP(C2,ISB!C:DO,117,0)*A3,0)</f>
        <v>0</v>
      </c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5">
      <c r="A72" s="34"/>
      <c r="B72" s="44"/>
      <c r="C72" s="34"/>
      <c r="D72" s="34"/>
      <c r="E72" s="34"/>
      <c r="F72" s="45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5">
      <c r="A73" s="34"/>
      <c r="B73" s="69" t="s">
        <v>356</v>
      </c>
      <c r="C73" s="70"/>
      <c r="D73" s="70"/>
      <c r="E73" s="70"/>
      <c r="F73" s="71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5">
      <c r="A74" s="34"/>
      <c r="B74" s="72"/>
      <c r="C74" s="73"/>
      <c r="D74" s="73" t="s">
        <v>296</v>
      </c>
      <c r="E74" s="73" t="s">
        <v>297</v>
      </c>
      <c r="F74" s="71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5">
      <c r="A75" s="34"/>
      <c r="B75" s="69" t="s">
        <v>173</v>
      </c>
      <c r="C75" s="70"/>
      <c r="D75" s="70">
        <f>IFERROR(VLOOKUP(C2,ISB!C:FN,164,0)*A3,0)</f>
        <v>0</v>
      </c>
      <c r="E75" s="74">
        <f t="shared" ref="E75:E77" si="3">$F$71</f>
        <v>0</v>
      </c>
      <c r="F75" s="75">
        <f t="shared" ref="F75:F77" si="4">D75*E75</f>
        <v>0</v>
      </c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5">
      <c r="A76" s="34"/>
      <c r="B76" s="69" t="s">
        <v>174</v>
      </c>
      <c r="C76" s="70"/>
      <c r="D76" s="70">
        <f>IFERROR(VLOOKUP(C2,ISB!C:FN,165,0)*A3,0)</f>
        <v>0</v>
      </c>
      <c r="E76" s="74">
        <f t="shared" si="3"/>
        <v>0</v>
      </c>
      <c r="F76" s="75">
        <f t="shared" si="4"/>
        <v>0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5">
      <c r="A77" s="34"/>
      <c r="B77" s="69" t="s">
        <v>175</v>
      </c>
      <c r="C77" s="70"/>
      <c r="D77" s="70">
        <f>IFERROR(VLOOKUP(C2,ISB!C:FN,166,0)*A3,0)</f>
        <v>0</v>
      </c>
      <c r="E77" s="74">
        <f t="shared" si="3"/>
        <v>0</v>
      </c>
      <c r="F77" s="75">
        <f t="shared" si="4"/>
        <v>0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5">
      <c r="A78" s="34"/>
      <c r="B78" s="72"/>
      <c r="C78" s="70"/>
      <c r="D78" s="70"/>
      <c r="E78" s="74"/>
      <c r="F78" s="71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5">
      <c r="A79" s="34"/>
      <c r="B79" s="69" t="s">
        <v>176</v>
      </c>
      <c r="C79" s="70"/>
      <c r="D79" s="70">
        <f>IFERROR(VLOOKUP(C2,ISB!C:FN,167,0)*A3,0)</f>
        <v>0</v>
      </c>
      <c r="E79" s="74">
        <f>0.62*A3</f>
        <v>0</v>
      </c>
      <c r="F79" s="75">
        <f t="shared" ref="F79:F80" si="5">D79*E79</f>
        <v>0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5">
      <c r="A80" s="34"/>
      <c r="B80" s="69" t="s">
        <v>177</v>
      </c>
      <c r="C80" s="70"/>
      <c r="D80" s="70">
        <f>IFERROR(VLOOKUP(C2,ISB!C:FN,168,0)*A3,0)</f>
        <v>0</v>
      </c>
      <c r="E80" s="74">
        <f>828*A3</f>
        <v>0</v>
      </c>
      <c r="F80" s="75">
        <f t="shared" si="5"/>
        <v>0</v>
      </c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5">
      <c r="A81" s="34"/>
      <c r="B81" s="72"/>
      <c r="C81" s="70"/>
      <c r="D81" s="70"/>
      <c r="E81" s="70"/>
      <c r="F81" s="71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5">
      <c r="A82" s="34"/>
      <c r="B82" s="69" t="s">
        <v>357</v>
      </c>
      <c r="C82" s="70"/>
      <c r="D82" s="70"/>
      <c r="E82" s="70"/>
      <c r="F82" s="75">
        <f>SUM(F75:F80)</f>
        <v>0</v>
      </c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5">
      <c r="A83" s="34"/>
      <c r="B83" s="44"/>
      <c r="C83" s="34"/>
      <c r="D83" s="34"/>
      <c r="E83" s="34"/>
      <c r="F83" s="45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5">
      <c r="A84" s="34"/>
      <c r="B84" s="46" t="s">
        <v>358</v>
      </c>
      <c r="C84" s="37" t="s">
        <v>359</v>
      </c>
      <c r="D84" s="37" t="s">
        <v>360</v>
      </c>
      <c r="E84" s="37" t="s">
        <v>361</v>
      </c>
      <c r="F84" s="47" t="s">
        <v>362</v>
      </c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5">
      <c r="A85" s="34"/>
      <c r="B85" s="44" t="s">
        <v>363</v>
      </c>
      <c r="C85" s="107"/>
      <c r="D85" s="34">
        <f t="shared" ref="D85:D87" si="6">C85*15</f>
        <v>0</v>
      </c>
      <c r="E85" s="76">
        <f t="shared" ref="E85:E86" si="7">D85*13</f>
        <v>0</v>
      </c>
      <c r="F85" s="50">
        <f>E85*$F$71*A3</f>
        <v>0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5">
      <c r="A86" s="34"/>
      <c r="B86" s="44" t="s">
        <v>364</v>
      </c>
      <c r="C86" s="107"/>
      <c r="D86" s="34">
        <f t="shared" si="6"/>
        <v>0</v>
      </c>
      <c r="E86" s="76">
        <f t="shared" si="7"/>
        <v>0</v>
      </c>
      <c r="F86" s="50">
        <f>E86*$F$71*A3</f>
        <v>0</v>
      </c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5">
      <c r="A87" s="34"/>
      <c r="B87" s="44" t="s">
        <v>365</v>
      </c>
      <c r="C87" s="107"/>
      <c r="D87" s="34">
        <f t="shared" si="6"/>
        <v>0</v>
      </c>
      <c r="E87" s="76">
        <f>D87*12</f>
        <v>0</v>
      </c>
      <c r="F87" s="50">
        <f>E87*$F$71*A3</f>
        <v>0</v>
      </c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5">
      <c r="A88" s="34"/>
      <c r="B88" s="44"/>
      <c r="C88" s="34"/>
      <c r="D88" s="34"/>
      <c r="E88" s="34"/>
      <c r="F88" s="45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5">
      <c r="A89" s="34"/>
      <c r="B89" s="44" t="s">
        <v>366</v>
      </c>
      <c r="C89" s="107"/>
      <c r="D89" s="34"/>
      <c r="E89" s="34"/>
      <c r="F89" s="50">
        <f>C89*0.62*A3</f>
        <v>0</v>
      </c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5">
      <c r="A90" s="34"/>
      <c r="B90" s="44" t="s">
        <v>367</v>
      </c>
      <c r="C90" s="107"/>
      <c r="D90" s="34"/>
      <c r="E90" s="34"/>
      <c r="F90" s="50">
        <f>C90*828*A3</f>
        <v>0</v>
      </c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5">
      <c r="A91" s="34"/>
      <c r="B91" s="44"/>
      <c r="C91" s="34"/>
      <c r="D91" s="34"/>
      <c r="E91" s="34"/>
      <c r="F91" s="45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5">
      <c r="A92" s="34"/>
      <c r="B92" s="67" t="s">
        <v>355</v>
      </c>
      <c r="C92" s="68"/>
      <c r="D92" s="68"/>
      <c r="E92" s="68"/>
      <c r="F92" s="77">
        <f>SUM(F85:F90)</f>
        <v>0</v>
      </c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5">
      <c r="A95" s="34"/>
      <c r="B95" s="41" t="s">
        <v>368</v>
      </c>
      <c r="C95" s="42"/>
      <c r="D95" s="42"/>
      <c r="E95" s="42"/>
      <c r="F95" s="43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5">
      <c r="A96" s="34"/>
      <c r="B96" s="44"/>
      <c r="C96" s="34"/>
      <c r="D96" s="34"/>
      <c r="E96" s="34"/>
      <c r="F96" s="45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5.5">
      <c r="A97" s="34"/>
      <c r="B97" s="44"/>
      <c r="C97" s="34"/>
      <c r="D97" s="34"/>
      <c r="E97" s="34"/>
      <c r="F97" s="45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5">
      <c r="A98" s="34"/>
      <c r="B98" s="44" t="s">
        <v>369</v>
      </c>
      <c r="C98" s="34"/>
      <c r="D98" s="34"/>
      <c r="E98" s="34"/>
      <c r="F98" s="45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5">
      <c r="A99" s="34"/>
      <c r="B99" s="44" t="s">
        <v>370</v>
      </c>
      <c r="C99" s="34"/>
      <c r="D99" s="34"/>
      <c r="E99" s="34"/>
      <c r="F99" s="45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5">
      <c r="A100" s="34"/>
      <c r="B100" s="78"/>
      <c r="C100" s="34"/>
      <c r="D100" s="34"/>
      <c r="E100" s="34"/>
      <c r="F100" s="45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5">
      <c r="A101" s="34"/>
      <c r="B101" s="44" t="s">
        <v>371</v>
      </c>
      <c r="C101" s="116">
        <f>IFERROR(VLOOKUP(C2,ISB!C:DR,120,0)*A3,0)</f>
        <v>0</v>
      </c>
      <c r="D101" s="34"/>
      <c r="E101" s="34"/>
      <c r="F101" s="45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5">
      <c r="A102" s="34"/>
      <c r="B102" s="52" t="s">
        <v>372</v>
      </c>
      <c r="C102" s="107">
        <f>C101</f>
        <v>0</v>
      </c>
      <c r="D102" s="34"/>
      <c r="E102" s="34"/>
      <c r="F102" s="45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5">
      <c r="A103" s="34"/>
      <c r="B103" s="44" t="s">
        <v>373</v>
      </c>
      <c r="C103" s="79">
        <f>(C101*(5/12))+(C102*(7/12))</f>
        <v>0</v>
      </c>
      <c r="D103" s="34"/>
      <c r="E103" s="34"/>
      <c r="F103" s="45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5">
      <c r="A104" s="34"/>
      <c r="B104" s="44" t="s">
        <v>374</v>
      </c>
      <c r="C104" s="34"/>
      <c r="D104" s="34"/>
      <c r="E104" s="34"/>
      <c r="F104" s="50">
        <f>6000*C103</f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5">
      <c r="A105" s="34"/>
      <c r="B105" s="78"/>
      <c r="C105" s="34"/>
      <c r="D105" s="34"/>
      <c r="E105" s="34"/>
      <c r="F105" s="45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5">
      <c r="A106" s="34"/>
      <c r="B106" s="44"/>
      <c r="C106" s="38" t="s">
        <v>375</v>
      </c>
      <c r="D106" s="34"/>
      <c r="E106" s="34" t="s">
        <v>297</v>
      </c>
      <c r="F106" s="45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5">
      <c r="A107" s="34"/>
      <c r="B107" s="40" t="s">
        <v>376</v>
      </c>
      <c r="C107" s="107"/>
      <c r="D107" s="80"/>
      <c r="E107" s="117">
        <v>0</v>
      </c>
      <c r="F107" s="81">
        <f t="shared" ref="F107:F112" si="8">C107*E107</f>
        <v>0</v>
      </c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5">
      <c r="A108" s="34"/>
      <c r="B108" s="44" t="s">
        <v>377</v>
      </c>
      <c r="C108" s="107"/>
      <c r="D108" s="34"/>
      <c r="E108" s="82">
        <v>4736</v>
      </c>
      <c r="F108" s="50">
        <f t="shared" si="8"/>
        <v>0</v>
      </c>
      <c r="G108" s="76"/>
      <c r="H108" s="76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5">
      <c r="A109" s="34"/>
      <c r="B109" s="44" t="s">
        <v>378</v>
      </c>
      <c r="C109" s="107"/>
      <c r="D109" s="34"/>
      <c r="E109" s="82">
        <v>6077</v>
      </c>
      <c r="F109" s="50">
        <f t="shared" si="8"/>
        <v>0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5">
      <c r="A110" s="34"/>
      <c r="B110" s="44" t="s">
        <v>379</v>
      </c>
      <c r="C110" s="107"/>
      <c r="D110" s="34"/>
      <c r="E110" s="82">
        <v>6500</v>
      </c>
      <c r="F110" s="50">
        <f t="shared" si="8"/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5">
      <c r="A111" s="34"/>
      <c r="B111" s="44" t="s">
        <v>380</v>
      </c>
      <c r="C111" s="107"/>
      <c r="D111" s="34"/>
      <c r="E111" s="82">
        <v>11432</v>
      </c>
      <c r="F111" s="50">
        <f t="shared" si="8"/>
        <v>0</v>
      </c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5">
      <c r="A112" s="34"/>
      <c r="B112" s="44" t="s">
        <v>381</v>
      </c>
      <c r="C112" s="107"/>
      <c r="D112" s="34"/>
      <c r="E112" s="82">
        <v>15818</v>
      </c>
      <c r="F112" s="50">
        <f t="shared" si="8"/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5">
      <c r="A113" s="34"/>
      <c r="B113" s="44"/>
      <c r="C113" s="34"/>
      <c r="D113" s="34"/>
      <c r="E113" s="34"/>
      <c r="F113" s="4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5">
      <c r="A114" s="34"/>
      <c r="B114" s="67" t="s">
        <v>368</v>
      </c>
      <c r="C114" s="68"/>
      <c r="D114" s="68"/>
      <c r="E114" s="68"/>
      <c r="F114" s="77">
        <f>SUM(F104:F112)</f>
        <v>0</v>
      </c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5">
      <c r="A116" s="34"/>
      <c r="B116" s="83" t="s">
        <v>382</v>
      </c>
      <c r="C116" s="84"/>
      <c r="D116" s="84"/>
      <c r="E116" s="84"/>
      <c r="F116" s="85">
        <f>F62+F92+F114</f>
        <v>0</v>
      </c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5">
      <c r="A118" s="34"/>
      <c r="B118" s="41" t="s">
        <v>383</v>
      </c>
      <c r="C118" s="42"/>
      <c r="D118" s="42"/>
      <c r="E118" s="42"/>
      <c r="F118" s="43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5">
      <c r="A119" s="34"/>
      <c r="B119" s="44"/>
      <c r="C119" s="34"/>
      <c r="D119" s="34"/>
      <c r="E119" s="34"/>
      <c r="F119" s="45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5">
      <c r="A120" s="34"/>
      <c r="B120" s="46" t="s">
        <v>384</v>
      </c>
      <c r="C120" s="34"/>
      <c r="D120" s="34"/>
      <c r="E120" s="34"/>
      <c r="F120" s="45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5">
      <c r="A121" s="34"/>
      <c r="B121" s="44"/>
      <c r="C121" s="34"/>
      <c r="D121" s="34"/>
      <c r="E121" s="34"/>
      <c r="F121" s="45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5">
      <c r="A122" s="34"/>
      <c r="B122" s="44" t="s">
        <v>385</v>
      </c>
      <c r="C122" s="34"/>
      <c r="D122" s="34"/>
      <c r="E122" s="34"/>
      <c r="F122" s="4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5">
      <c r="A123" s="34"/>
      <c r="B123" s="52" t="s">
        <v>386</v>
      </c>
      <c r="C123" s="34"/>
      <c r="D123" s="34"/>
      <c r="E123" s="34"/>
      <c r="F123" s="45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5">
      <c r="A124" s="34"/>
      <c r="B124" s="53" t="s">
        <v>387</v>
      </c>
      <c r="C124" s="68"/>
      <c r="D124" s="68"/>
      <c r="E124" s="68"/>
      <c r="F124" s="86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5">
      <c r="A126" s="34"/>
      <c r="B126" s="41" t="s">
        <v>17</v>
      </c>
      <c r="C126" s="42"/>
      <c r="D126" s="42"/>
      <c r="E126" s="42"/>
      <c r="F126" s="43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5">
      <c r="A127" s="34"/>
      <c r="B127" s="44"/>
      <c r="C127" s="34"/>
      <c r="D127" s="34"/>
      <c r="E127" s="34"/>
      <c r="F127" s="45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5">
      <c r="A128" s="34"/>
      <c r="B128" s="87" t="s">
        <v>388</v>
      </c>
      <c r="C128" s="34" t="s">
        <v>389</v>
      </c>
      <c r="D128" s="64">
        <f t="shared" ref="D128:D130" si="9">D13</f>
        <v>0</v>
      </c>
      <c r="E128" s="88">
        <f>A3*119</f>
        <v>0</v>
      </c>
      <c r="F128" s="50">
        <f t="shared" ref="F128:F133" si="10">D128*E128</f>
        <v>0</v>
      </c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5">
      <c r="A129" s="34"/>
      <c r="B129" s="44"/>
      <c r="C129" s="34" t="s">
        <v>390</v>
      </c>
      <c r="D129" s="64">
        <f t="shared" si="9"/>
        <v>0</v>
      </c>
      <c r="E129" s="88">
        <f>A3*168</f>
        <v>0</v>
      </c>
      <c r="F129" s="50">
        <f t="shared" si="10"/>
        <v>0</v>
      </c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5">
      <c r="A130" s="34"/>
      <c r="B130" s="44"/>
      <c r="C130" s="34" t="s">
        <v>391</v>
      </c>
      <c r="D130" s="64">
        <f t="shared" si="9"/>
        <v>0</v>
      </c>
      <c r="E130" s="88">
        <f>A3*190</f>
        <v>0</v>
      </c>
      <c r="F130" s="50">
        <f t="shared" si="10"/>
        <v>0</v>
      </c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5">
      <c r="A131" s="34"/>
      <c r="B131" s="44"/>
      <c r="C131" s="34" t="s">
        <v>105</v>
      </c>
      <c r="D131" s="34">
        <f>1*A3</f>
        <v>0</v>
      </c>
      <c r="E131" s="88">
        <f>A3*4510</f>
        <v>0</v>
      </c>
      <c r="F131" s="50">
        <f t="shared" si="10"/>
        <v>0</v>
      </c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5">
      <c r="A132" s="34"/>
      <c r="B132" s="44"/>
      <c r="C132" s="34" t="s">
        <v>392</v>
      </c>
      <c r="D132" s="89">
        <f>IFERROR(VLOOKUP(C2,ISB!C:DI,19,0)*A3,0)</f>
        <v>0</v>
      </c>
      <c r="E132" s="88">
        <f>A3*104</f>
        <v>0</v>
      </c>
      <c r="F132" s="50">
        <f t="shared" si="10"/>
        <v>0</v>
      </c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5">
      <c r="A133" s="34"/>
      <c r="B133" s="44"/>
      <c r="C133" s="34" t="s">
        <v>393</v>
      </c>
      <c r="D133" s="89">
        <f>IFERROR(VLOOKUP(C2,ISB!C:DI,20,0)*A3,0)</f>
        <v>0</v>
      </c>
      <c r="E133" s="88">
        <f>A3*152</f>
        <v>0</v>
      </c>
      <c r="F133" s="50">
        <f t="shared" si="10"/>
        <v>0</v>
      </c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5">
      <c r="A134" s="34"/>
      <c r="B134" s="44"/>
      <c r="C134" s="34"/>
      <c r="D134" s="34"/>
      <c r="E134" s="88"/>
      <c r="F134" s="50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5">
      <c r="A135" s="34"/>
      <c r="B135" s="44"/>
      <c r="C135" s="34" t="s">
        <v>394</v>
      </c>
      <c r="D135" s="34"/>
      <c r="E135" s="88"/>
      <c r="F135" s="50">
        <f>0.18892*SUM(F128:F133)</f>
        <v>0</v>
      </c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5">
      <c r="A136" s="34"/>
      <c r="B136" s="44"/>
      <c r="C136" s="34"/>
      <c r="D136" s="34"/>
      <c r="E136" s="88"/>
      <c r="F136" s="50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5">
      <c r="A137" s="34"/>
      <c r="B137" s="53"/>
      <c r="C137" s="90" t="s">
        <v>395</v>
      </c>
      <c r="D137" s="68"/>
      <c r="E137" s="91"/>
      <c r="F137" s="111">
        <f>SUM(F128:F135)</f>
        <v>0</v>
      </c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5">
      <c r="A139" s="34"/>
      <c r="B139" s="41" t="s">
        <v>396</v>
      </c>
      <c r="C139" s="42"/>
      <c r="D139" s="42"/>
      <c r="E139" s="42"/>
      <c r="F139" s="43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5">
      <c r="A140" s="34"/>
      <c r="B140" s="44"/>
      <c r="C140" s="34"/>
      <c r="D140" s="34"/>
      <c r="E140" s="34"/>
      <c r="F140" s="45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5">
      <c r="A141" s="34"/>
      <c r="B141" s="87" t="s">
        <v>388</v>
      </c>
      <c r="C141" s="34"/>
      <c r="D141" s="34"/>
      <c r="E141" s="34"/>
      <c r="F141" s="45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5">
      <c r="A142" s="34"/>
      <c r="B142" s="44"/>
      <c r="C142" s="34"/>
      <c r="D142" s="34"/>
      <c r="E142" s="34"/>
      <c r="F142" s="45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5">
      <c r="A143" s="34"/>
      <c r="B143" s="52" t="s">
        <v>397</v>
      </c>
      <c r="C143" s="34"/>
      <c r="D143" s="107"/>
      <c r="E143" s="49">
        <v>1455</v>
      </c>
      <c r="F143" s="65">
        <f t="shared" ref="F143:F145" si="11">D143*E143</f>
        <v>0</v>
      </c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5">
      <c r="A144" s="34"/>
      <c r="B144" s="52" t="s">
        <v>398</v>
      </c>
      <c r="C144" s="34"/>
      <c r="D144" s="107"/>
      <c r="E144" s="49">
        <v>1035</v>
      </c>
      <c r="F144" s="65">
        <f t="shared" si="11"/>
        <v>0</v>
      </c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5">
      <c r="A145" s="34"/>
      <c r="B145" s="44" t="s">
        <v>399</v>
      </c>
      <c r="C145" s="34"/>
      <c r="D145" s="107"/>
      <c r="E145" s="49">
        <v>2530</v>
      </c>
      <c r="F145" s="65">
        <f t="shared" si="11"/>
        <v>0</v>
      </c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5">
      <c r="A146" s="34"/>
      <c r="B146" s="44"/>
      <c r="C146" s="34"/>
      <c r="D146" s="34"/>
      <c r="E146" s="49"/>
      <c r="F146" s="65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5">
      <c r="A147" s="34"/>
      <c r="B147" s="53"/>
      <c r="C147" s="90" t="s">
        <v>395</v>
      </c>
      <c r="D147" s="68"/>
      <c r="E147" s="91"/>
      <c r="F147" s="77">
        <f>SUM(F143:F145)</f>
        <v>0</v>
      </c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5">
      <c r="A148" s="34"/>
      <c r="B148" s="34"/>
      <c r="C148" s="34"/>
      <c r="D148" s="34"/>
      <c r="E148" s="49"/>
      <c r="F148" s="49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5">
      <c r="A149" s="34"/>
      <c r="B149" s="41" t="s">
        <v>400</v>
      </c>
      <c r="C149" s="42"/>
      <c r="D149" s="42"/>
      <c r="E149" s="42"/>
      <c r="F149" s="43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5">
      <c r="A150" s="34"/>
      <c r="B150" s="44"/>
      <c r="C150" s="34"/>
      <c r="D150" s="34"/>
      <c r="E150" s="34"/>
      <c r="F150" s="45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5">
      <c r="A151" s="34"/>
      <c r="B151" s="87" t="s">
        <v>388</v>
      </c>
      <c r="C151" s="34"/>
      <c r="D151" s="34"/>
      <c r="E151" s="34"/>
      <c r="F151" s="45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5">
      <c r="A152" s="34"/>
      <c r="B152" s="44"/>
      <c r="C152" s="34"/>
      <c r="D152" s="34"/>
      <c r="E152" s="34"/>
      <c r="F152" s="45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5">
      <c r="A153" s="34"/>
      <c r="B153" s="44" t="s">
        <v>401</v>
      </c>
      <c r="C153" s="34"/>
      <c r="D153" s="34"/>
      <c r="E153" s="34"/>
      <c r="F153" s="45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5">
      <c r="A154" s="34"/>
      <c r="B154" s="44" t="s">
        <v>402</v>
      </c>
      <c r="C154" s="34"/>
      <c r="D154" s="34"/>
      <c r="E154" s="34"/>
      <c r="F154" s="45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5">
      <c r="A155" s="34"/>
      <c r="B155" s="44"/>
      <c r="C155" s="34"/>
      <c r="D155" s="34"/>
      <c r="E155" s="34"/>
      <c r="F155" s="45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5">
      <c r="A156" s="34"/>
      <c r="B156" s="44" t="s">
        <v>403</v>
      </c>
      <c r="C156" s="92">
        <v>44835</v>
      </c>
      <c r="D156" s="107"/>
      <c r="E156" s="34"/>
      <c r="F156" s="45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5">
      <c r="A157" s="34"/>
      <c r="B157" s="44"/>
      <c r="C157" s="92">
        <v>44927</v>
      </c>
      <c r="D157" s="107"/>
      <c r="E157" s="34"/>
      <c r="F157" s="45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5">
      <c r="A158" s="34"/>
      <c r="B158" s="44"/>
      <c r="C158" s="92">
        <v>45200</v>
      </c>
      <c r="D158" s="107"/>
      <c r="E158" s="34"/>
      <c r="F158" s="45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5">
      <c r="A159" s="34"/>
      <c r="B159" s="44"/>
      <c r="C159" s="92">
        <v>45292</v>
      </c>
      <c r="D159" s="107"/>
      <c r="E159" s="34"/>
      <c r="F159" s="45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5">
      <c r="A160" s="34"/>
      <c r="B160" s="44"/>
      <c r="C160" s="34"/>
      <c r="D160" s="34"/>
      <c r="E160" s="34"/>
      <c r="F160" s="45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5">
      <c r="A161" s="34"/>
      <c r="B161" s="44" t="s">
        <v>404</v>
      </c>
      <c r="C161" s="92">
        <v>44835</v>
      </c>
      <c r="D161" s="107"/>
      <c r="E161" s="34"/>
      <c r="F161" s="45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5">
      <c r="A162" s="34"/>
      <c r="B162" s="44"/>
      <c r="C162" s="92">
        <v>44927</v>
      </c>
      <c r="D162" s="107"/>
      <c r="E162" s="34"/>
      <c r="F162" s="45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5">
      <c r="A163" s="34"/>
      <c r="B163" s="44"/>
      <c r="C163" s="92">
        <v>45200</v>
      </c>
      <c r="D163" s="107"/>
      <c r="E163" s="34"/>
      <c r="F163" s="45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5">
      <c r="A164" s="34"/>
      <c r="B164" s="44"/>
      <c r="C164" s="92">
        <v>45292</v>
      </c>
      <c r="D164" s="107"/>
      <c r="E164" s="34"/>
      <c r="F164" s="45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5">
      <c r="A165" s="34"/>
      <c r="B165" s="44"/>
      <c r="C165" s="34"/>
      <c r="D165" s="34"/>
      <c r="E165" s="34"/>
      <c r="F165" s="45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5">
      <c r="A166" s="34"/>
      <c r="B166" s="44" t="s">
        <v>405</v>
      </c>
      <c r="C166" s="34" t="s">
        <v>406</v>
      </c>
      <c r="D166" s="34">
        <f>MAX(D157,((D156+D157)/2))</f>
        <v>0</v>
      </c>
      <c r="E166" s="34"/>
      <c r="F166" s="45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5">
      <c r="A167" s="34"/>
      <c r="B167" s="44"/>
      <c r="C167" s="34" t="s">
        <v>407</v>
      </c>
      <c r="D167" s="34">
        <f>(D161+D162)/2</f>
        <v>0</v>
      </c>
      <c r="E167" s="34"/>
      <c r="F167" s="45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5">
      <c r="A168" s="34"/>
      <c r="B168" s="44"/>
      <c r="C168" s="34"/>
      <c r="D168" s="34"/>
      <c r="E168" s="34"/>
      <c r="F168" s="45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5">
      <c r="A169" s="34"/>
      <c r="B169" s="44" t="s">
        <v>408</v>
      </c>
      <c r="C169" s="34" t="s">
        <v>406</v>
      </c>
      <c r="D169" s="89">
        <f>MAX(D159,((D158+D159)/2))</f>
        <v>0</v>
      </c>
      <c r="E169" s="34"/>
      <c r="F169" s="45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5">
      <c r="A170" s="34"/>
      <c r="B170" s="44"/>
      <c r="C170" s="34" t="s">
        <v>407</v>
      </c>
      <c r="D170" s="89">
        <f>(D163+D164)/2</f>
        <v>0</v>
      </c>
      <c r="E170" s="34"/>
      <c r="F170" s="45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5">
      <c r="A171" s="34"/>
      <c r="B171" s="44"/>
      <c r="C171" s="34"/>
      <c r="D171" s="34"/>
      <c r="E171" s="34"/>
      <c r="F171" s="4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5">
      <c r="A172" s="34"/>
      <c r="B172" s="44" t="s">
        <v>409</v>
      </c>
      <c r="C172" s="34"/>
      <c r="D172" s="34"/>
      <c r="E172" s="34"/>
      <c r="F172" s="65">
        <f>(D166+D167)*457.9</f>
        <v>0</v>
      </c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5">
      <c r="A173" s="34"/>
      <c r="B173" s="44"/>
      <c r="C173" s="34"/>
      <c r="D173" s="34"/>
      <c r="E173" s="34"/>
      <c r="F173" s="65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5">
      <c r="A174" s="34"/>
      <c r="B174" s="44" t="s">
        <v>410</v>
      </c>
      <c r="C174" s="34"/>
      <c r="D174" s="34"/>
      <c r="E174" s="34"/>
      <c r="F174" s="65">
        <f>(D169+D170)*457.9</f>
        <v>0</v>
      </c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5">
      <c r="A175" s="34"/>
      <c r="B175" s="44"/>
      <c r="C175" s="34"/>
      <c r="D175" s="34"/>
      <c r="E175" s="34"/>
      <c r="F175" s="45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5">
      <c r="A176" s="34"/>
      <c r="B176" s="67" t="s">
        <v>411</v>
      </c>
      <c r="C176" s="68"/>
      <c r="D176" s="68"/>
      <c r="E176" s="68"/>
      <c r="F176" s="93">
        <f>(F172*(5/12))+(F174*(7/12))</f>
        <v>0</v>
      </c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5">
      <c r="A179" s="34"/>
      <c r="B179" s="41" t="s">
        <v>412</v>
      </c>
      <c r="C179" s="42"/>
      <c r="D179" s="42"/>
      <c r="E179" s="42"/>
      <c r="F179" s="43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5">
      <c r="A180" s="34"/>
      <c r="B180" s="78"/>
      <c r="C180" s="34"/>
      <c r="D180" s="34"/>
      <c r="E180" s="34"/>
      <c r="F180" s="45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5">
      <c r="A181" s="34"/>
      <c r="B181" s="87" t="s">
        <v>388</v>
      </c>
      <c r="C181" s="34"/>
      <c r="D181" s="34"/>
      <c r="E181" s="34"/>
      <c r="F181" s="45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5">
      <c r="A182" s="34"/>
      <c r="B182" s="44"/>
      <c r="F182" s="45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5">
      <c r="A183" s="34"/>
      <c r="B183" s="44" t="s">
        <v>413</v>
      </c>
      <c r="C183" s="34"/>
      <c r="D183" s="118">
        <f>IFERROR(VLOOKUP(C2,ISB!C:DQ,119,0)*A3,0)</f>
        <v>0</v>
      </c>
      <c r="E183" s="34"/>
      <c r="F183" s="45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5">
      <c r="A184" s="34"/>
      <c r="B184" s="94" t="s">
        <v>414</v>
      </c>
      <c r="C184" s="76"/>
      <c r="D184" s="82">
        <f>D183/2</f>
        <v>0</v>
      </c>
      <c r="E184" s="76"/>
      <c r="F184" s="95"/>
      <c r="G184" s="76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5">
      <c r="A185" s="34"/>
      <c r="B185" s="44"/>
      <c r="C185" s="34"/>
      <c r="D185" s="34"/>
      <c r="E185" s="34"/>
      <c r="F185" s="45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5">
      <c r="A186" s="34"/>
      <c r="B186" s="44" t="s">
        <v>408</v>
      </c>
      <c r="C186" s="34"/>
      <c r="D186" s="107"/>
      <c r="E186" s="34"/>
      <c r="F186" s="45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5">
      <c r="A187" s="34"/>
      <c r="B187" s="52" t="s">
        <v>415</v>
      </c>
      <c r="C187" s="34"/>
      <c r="D187" s="88">
        <f>IF(A2=0,0,IF(A2=1,145,IF(A2=2,276,0)))</f>
        <v>0</v>
      </c>
      <c r="E187" s="34"/>
      <c r="F187" s="45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5">
      <c r="A188" s="34"/>
      <c r="B188" s="44" t="s">
        <v>416</v>
      </c>
      <c r="C188" s="34"/>
      <c r="D188" s="88">
        <f>D186*D187</f>
        <v>0</v>
      </c>
      <c r="E188" s="34"/>
      <c r="F188" s="45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5">
      <c r="A189" s="34"/>
      <c r="B189" s="44" t="s">
        <v>417</v>
      </c>
      <c r="C189" s="34"/>
      <c r="D189" s="88">
        <f>IF(A2=0,0,IF(A2=1,2000,IF(A2=2,6000,0)))</f>
        <v>0</v>
      </c>
      <c r="E189" s="34"/>
      <c r="F189" s="45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5">
      <c r="A190" s="34"/>
      <c r="B190" s="44" t="s">
        <v>418</v>
      </c>
      <c r="C190" s="34"/>
      <c r="D190" s="88">
        <f>MAX(D188,D189)</f>
        <v>0</v>
      </c>
      <c r="E190" s="34"/>
      <c r="F190" s="45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5">
      <c r="A191" s="34"/>
      <c r="B191" s="94" t="s">
        <v>414</v>
      </c>
      <c r="C191" s="34"/>
      <c r="D191" s="88">
        <f>D190/2</f>
        <v>0</v>
      </c>
      <c r="E191" s="34"/>
      <c r="F191" s="45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5">
      <c r="A192" s="34"/>
      <c r="B192" s="44"/>
      <c r="C192" s="34"/>
      <c r="D192" s="34"/>
      <c r="E192" s="34"/>
      <c r="F192" s="45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5">
      <c r="A193" s="34"/>
      <c r="B193" s="67" t="s">
        <v>419</v>
      </c>
      <c r="C193" s="68"/>
      <c r="D193" s="68"/>
      <c r="E193" s="68"/>
      <c r="F193" s="77">
        <f>D184+D191</f>
        <v>0</v>
      </c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5">
      <c r="A195" s="34"/>
      <c r="B195" s="41" t="s">
        <v>420</v>
      </c>
      <c r="C195" s="42"/>
      <c r="D195" s="42"/>
      <c r="E195" s="42"/>
      <c r="F195" s="43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5">
      <c r="A196" s="34"/>
      <c r="B196" s="44"/>
      <c r="C196" s="34"/>
      <c r="D196" s="34"/>
      <c r="E196" s="34"/>
      <c r="F196" s="45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5">
      <c r="A197" s="34"/>
      <c r="B197" s="87" t="s">
        <v>388</v>
      </c>
      <c r="C197" s="34"/>
      <c r="D197" s="34"/>
      <c r="E197" s="34"/>
      <c r="F197" s="45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5">
      <c r="A198" s="34"/>
      <c r="B198" s="44"/>
      <c r="C198" s="34"/>
      <c r="D198" s="34"/>
      <c r="E198" s="34"/>
      <c r="F198" s="45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5">
      <c r="A199" s="34"/>
      <c r="B199" s="44" t="s">
        <v>421</v>
      </c>
      <c r="C199" s="34"/>
      <c r="D199" s="118">
        <f>IFERROR(VLOOKUP(C2,ISB!C:DP,118,0)*A3,0)</f>
        <v>0</v>
      </c>
      <c r="E199" s="34"/>
      <c r="F199" s="45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5">
      <c r="A200" s="34"/>
      <c r="B200" s="44"/>
      <c r="C200" s="34"/>
      <c r="D200" s="34"/>
      <c r="E200" s="34"/>
      <c r="F200" s="45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5">
      <c r="A201" s="34"/>
      <c r="B201" s="44" t="s">
        <v>422</v>
      </c>
      <c r="C201" s="34"/>
      <c r="D201" s="34"/>
      <c r="E201" s="34"/>
      <c r="F201" s="45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5">
      <c r="A202" s="34"/>
      <c r="B202" s="44"/>
      <c r="C202" s="34"/>
      <c r="D202" s="34"/>
      <c r="E202" s="34"/>
      <c r="F202" s="45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5">
      <c r="A203" s="34"/>
      <c r="B203" s="44" t="s">
        <v>105</v>
      </c>
      <c r="C203" s="34"/>
      <c r="D203" s="88">
        <f>IF(A2=0,0,IF(A2=1,16000,IF(A2=2,0,0)))</f>
        <v>0</v>
      </c>
      <c r="E203" s="34"/>
      <c r="F203" s="45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5">
      <c r="A204" s="34"/>
      <c r="B204" s="44" t="s">
        <v>423</v>
      </c>
      <c r="C204" s="34"/>
      <c r="D204" s="88">
        <f>10*D13</f>
        <v>0</v>
      </c>
      <c r="E204" s="34"/>
      <c r="F204" s="45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5">
      <c r="A205" s="34"/>
      <c r="B205" s="44" t="s">
        <v>416</v>
      </c>
      <c r="C205" s="34"/>
      <c r="D205" s="88">
        <f>D204+D203</f>
        <v>0</v>
      </c>
      <c r="E205" s="34"/>
      <c r="F205" s="45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5">
      <c r="A206" s="34"/>
      <c r="B206" s="44" t="s">
        <v>424</v>
      </c>
      <c r="C206" s="34"/>
      <c r="D206" s="88">
        <f>D205*(7/12)</f>
        <v>0</v>
      </c>
      <c r="E206" s="34"/>
      <c r="F206" s="45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5">
      <c r="A207" s="34"/>
      <c r="B207" s="44"/>
      <c r="C207" s="34"/>
      <c r="D207" s="34"/>
      <c r="E207" s="34"/>
      <c r="F207" s="45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5">
      <c r="A208" s="34"/>
      <c r="B208" s="67" t="s">
        <v>419</v>
      </c>
      <c r="C208" s="68"/>
      <c r="D208" s="68"/>
      <c r="E208" s="68"/>
      <c r="F208" s="77">
        <f>D206+D199</f>
        <v>0</v>
      </c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5">
      <c r="A210" s="34"/>
      <c r="B210" s="41" t="s">
        <v>425</v>
      </c>
      <c r="C210" s="42" t="s">
        <v>426</v>
      </c>
      <c r="D210" s="42"/>
      <c r="E210" s="42"/>
      <c r="F210" s="119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5">
      <c r="A211" s="34"/>
      <c r="B211" s="41" t="s">
        <v>427</v>
      </c>
      <c r="C211" s="42" t="s">
        <v>426</v>
      </c>
      <c r="D211" s="42"/>
      <c r="E211" s="42"/>
      <c r="F211" s="120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5">
      <c r="A212" s="34"/>
      <c r="B212" s="96" t="s">
        <v>388</v>
      </c>
      <c r="C212" s="68"/>
      <c r="D212" s="68"/>
      <c r="E212" s="68"/>
      <c r="F212" s="86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5">
      <c r="A214" s="34"/>
      <c r="B214" s="41" t="s">
        <v>428</v>
      </c>
      <c r="C214" s="42"/>
      <c r="D214" s="42"/>
      <c r="E214" s="42"/>
      <c r="F214" s="43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5">
      <c r="A215" s="34"/>
      <c r="B215" s="44"/>
      <c r="C215" s="34"/>
      <c r="D215" s="34"/>
      <c r="E215" s="34"/>
      <c r="F215" s="45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5">
      <c r="A216" s="34"/>
      <c r="B216" s="44" t="s">
        <v>429</v>
      </c>
      <c r="C216" s="97" t="s">
        <v>430</v>
      </c>
      <c r="D216" s="34"/>
      <c r="E216" s="34"/>
      <c r="F216" s="50">
        <f>F62</f>
        <v>0</v>
      </c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5">
      <c r="A217" s="34"/>
      <c r="B217" s="44" t="s">
        <v>431</v>
      </c>
      <c r="C217" s="97" t="s">
        <v>430</v>
      </c>
      <c r="D217" s="34"/>
      <c r="E217" s="34"/>
      <c r="F217" s="50">
        <f>F92</f>
        <v>0</v>
      </c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5">
      <c r="A218" s="34"/>
      <c r="B218" s="44" t="s">
        <v>432</v>
      </c>
      <c r="C218" s="97" t="s">
        <v>433</v>
      </c>
      <c r="D218" s="34"/>
      <c r="E218" s="34"/>
      <c r="F218" s="50">
        <f>F114</f>
        <v>0</v>
      </c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5">
      <c r="A219" s="34"/>
      <c r="B219" s="44" t="s">
        <v>17</v>
      </c>
      <c r="C219" s="97" t="s">
        <v>430</v>
      </c>
      <c r="D219" s="34"/>
      <c r="E219" s="34"/>
      <c r="F219" s="50">
        <f>F137</f>
        <v>0</v>
      </c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5">
      <c r="A220" s="34"/>
      <c r="B220" s="44" t="s">
        <v>434</v>
      </c>
      <c r="C220" s="97" t="s">
        <v>435</v>
      </c>
      <c r="D220" s="34"/>
      <c r="E220" s="34"/>
      <c r="F220" s="50">
        <f>F147</f>
        <v>0</v>
      </c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5">
      <c r="A221" s="34"/>
      <c r="B221" s="44" t="s">
        <v>400</v>
      </c>
      <c r="C221" s="97" t="s">
        <v>436</v>
      </c>
      <c r="D221" s="34"/>
      <c r="E221" s="34"/>
      <c r="F221" s="65">
        <f>F176</f>
        <v>0</v>
      </c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5">
      <c r="A222" s="34"/>
      <c r="B222" s="44" t="s">
        <v>412</v>
      </c>
      <c r="C222" s="97" t="s">
        <v>437</v>
      </c>
      <c r="D222" s="34"/>
      <c r="E222" s="34"/>
      <c r="F222" s="50">
        <f>F193</f>
        <v>0</v>
      </c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5">
      <c r="A223" s="34"/>
      <c r="B223" s="44" t="s">
        <v>438</v>
      </c>
      <c r="C223" s="97" t="s">
        <v>436</v>
      </c>
      <c r="D223" s="34"/>
      <c r="E223" s="34"/>
      <c r="F223" s="50">
        <f>F208</f>
        <v>0</v>
      </c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5">
      <c r="A224" s="34"/>
      <c r="B224" s="44" t="s">
        <v>425</v>
      </c>
      <c r="C224" s="97" t="s">
        <v>439</v>
      </c>
      <c r="D224" s="34"/>
      <c r="E224" s="34"/>
      <c r="F224" s="50">
        <f t="shared" ref="F224:F225" si="12">F210</f>
        <v>0</v>
      </c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5">
      <c r="A225" s="34"/>
      <c r="B225" s="44" t="s">
        <v>427</v>
      </c>
      <c r="C225" s="97" t="s">
        <v>437</v>
      </c>
      <c r="D225" s="34"/>
      <c r="E225" s="34"/>
      <c r="F225" s="50">
        <f t="shared" si="12"/>
        <v>0</v>
      </c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5">
      <c r="A226" s="34"/>
      <c r="B226" s="44"/>
      <c r="C226" s="34"/>
      <c r="D226" s="34"/>
      <c r="E226" s="34"/>
      <c r="F226" s="45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5">
      <c r="A227" s="34"/>
      <c r="B227" s="67" t="s">
        <v>313</v>
      </c>
      <c r="C227" s="68"/>
      <c r="D227" s="68"/>
      <c r="E227" s="68"/>
      <c r="F227" s="77">
        <f>SUM(F216:F225)</f>
        <v>0</v>
      </c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5">
      <c r="A229" s="34"/>
      <c r="B229" s="98" t="s">
        <v>440</v>
      </c>
      <c r="C229" s="42"/>
      <c r="D229" s="42"/>
      <c r="E229" s="42"/>
      <c r="F229" s="43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5">
      <c r="A230" s="34"/>
      <c r="B230" s="44"/>
      <c r="C230" s="34"/>
      <c r="D230" s="34"/>
      <c r="E230" s="34"/>
      <c r="F230" s="45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5">
      <c r="A231" s="34"/>
      <c r="B231" s="52" t="s">
        <v>441</v>
      </c>
      <c r="C231" s="99"/>
      <c r="D231" s="34"/>
      <c r="E231" s="34"/>
      <c r="F231" s="100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5">
      <c r="A232" s="34"/>
      <c r="B232" s="52" t="s">
        <v>442</v>
      </c>
      <c r="C232" s="99"/>
      <c r="D232" s="34"/>
      <c r="E232" s="34"/>
      <c r="F232" s="100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5">
      <c r="A233" s="34"/>
      <c r="B233" s="52" t="s">
        <v>443</v>
      </c>
      <c r="C233" s="99"/>
      <c r="D233" s="34"/>
      <c r="E233" s="34"/>
      <c r="F233" s="100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5">
      <c r="A234" s="34"/>
      <c r="B234" s="52"/>
      <c r="C234" s="99"/>
      <c r="D234" s="34"/>
      <c r="E234" s="34"/>
      <c r="F234" s="100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5">
      <c r="A235" s="34"/>
      <c r="B235" s="52" t="s">
        <v>444</v>
      </c>
      <c r="C235" s="99" t="s">
        <v>445</v>
      </c>
      <c r="D235" s="34"/>
      <c r="E235" s="34"/>
      <c r="F235" s="100">
        <f>SUM(D13:D15)</f>
        <v>0</v>
      </c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5">
      <c r="A236" s="34"/>
      <c r="B236" s="52" t="s">
        <v>446</v>
      </c>
      <c r="C236" s="99" t="s">
        <v>447</v>
      </c>
      <c r="D236" s="34"/>
      <c r="E236" s="34"/>
      <c r="F236" s="121">
        <f>F235</f>
        <v>0</v>
      </c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5">
      <c r="A237" s="34"/>
      <c r="B237" s="52" t="s">
        <v>448</v>
      </c>
      <c r="C237" s="99" t="s">
        <v>447</v>
      </c>
      <c r="D237" s="34"/>
      <c r="E237" s="34"/>
      <c r="F237" s="121">
        <f>F235</f>
        <v>0</v>
      </c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5">
      <c r="A238" s="34"/>
      <c r="B238" s="44"/>
      <c r="C238" s="101"/>
      <c r="D238" s="34"/>
      <c r="E238" s="34"/>
      <c r="F238" s="45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5">
      <c r="A239" s="34"/>
      <c r="B239" s="52" t="s">
        <v>449</v>
      </c>
      <c r="C239" s="99" t="s">
        <v>450</v>
      </c>
      <c r="D239" s="34"/>
      <c r="E239" s="34"/>
      <c r="F239" s="122">
        <v>1.6999999999999999E-3</v>
      </c>
      <c r="G239" s="34"/>
      <c r="H239" s="102">
        <f t="shared" ref="H239:H240" si="13">1+F239</f>
        <v>1.0017</v>
      </c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5">
      <c r="A240" s="34"/>
      <c r="B240" s="52" t="s">
        <v>451</v>
      </c>
      <c r="C240" s="99" t="s">
        <v>450</v>
      </c>
      <c r="D240" s="34"/>
      <c r="E240" s="34"/>
      <c r="F240" s="122">
        <v>1.6999999999999999E-3</v>
      </c>
      <c r="G240" s="34"/>
      <c r="H240" s="102">
        <f t="shared" si="13"/>
        <v>1.0017</v>
      </c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5">
      <c r="A241" s="34"/>
      <c r="B241" s="44"/>
      <c r="C241" s="103"/>
      <c r="D241" s="34"/>
      <c r="E241" s="34"/>
      <c r="F241" s="45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5">
      <c r="A242" s="34"/>
      <c r="B242" s="52" t="s">
        <v>452</v>
      </c>
      <c r="C242" s="99" t="s">
        <v>453</v>
      </c>
      <c r="D242" s="34"/>
      <c r="E242" s="34"/>
      <c r="F242" s="104">
        <v>0.03</v>
      </c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5">
      <c r="A243" s="34"/>
      <c r="B243" s="52" t="s">
        <v>454</v>
      </c>
      <c r="C243" s="99" t="s">
        <v>455</v>
      </c>
      <c r="D243" s="34"/>
      <c r="E243" s="34"/>
      <c r="F243" s="104">
        <v>0</v>
      </c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5">
      <c r="A244" s="34"/>
      <c r="B244" s="44"/>
      <c r="C244" s="34"/>
      <c r="D244" s="34"/>
      <c r="E244" s="34"/>
      <c r="F244" s="45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5">
      <c r="A245" s="34"/>
      <c r="B245" s="105" t="s">
        <v>456</v>
      </c>
      <c r="C245" s="34"/>
      <c r="D245" s="34"/>
      <c r="E245" s="34"/>
      <c r="F245" s="45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5">
      <c r="A246" s="34"/>
      <c r="B246" s="44"/>
      <c r="C246" s="34"/>
      <c r="D246" s="34"/>
      <c r="E246" s="34"/>
      <c r="F246" s="45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5">
      <c r="A247" s="34"/>
      <c r="B247" s="52" t="s">
        <v>457</v>
      </c>
      <c r="C247" s="34"/>
      <c r="D247" s="34"/>
      <c r="E247" s="34"/>
      <c r="F247" s="50">
        <f>F49</f>
        <v>0</v>
      </c>
      <c r="G247" s="34"/>
      <c r="H247" s="55" t="s">
        <v>316</v>
      </c>
      <c r="I247" s="56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5">
      <c r="A248" s="34"/>
      <c r="B248" s="52" t="s">
        <v>458</v>
      </c>
      <c r="C248" s="34"/>
      <c r="D248" s="34"/>
      <c r="E248" s="34"/>
      <c r="F248" s="50">
        <f>F137</f>
        <v>0</v>
      </c>
      <c r="G248" s="34"/>
      <c r="H248" s="57" t="s">
        <v>318</v>
      </c>
      <c r="I248" s="58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5">
      <c r="A249" s="34"/>
      <c r="B249" s="52" t="s">
        <v>339</v>
      </c>
      <c r="C249" s="34"/>
      <c r="D249" s="34"/>
      <c r="E249" s="34"/>
      <c r="F249" s="50">
        <f>F28</f>
        <v>0</v>
      </c>
      <c r="G249" s="34"/>
      <c r="H249" s="57" t="s">
        <v>320</v>
      </c>
      <c r="I249" s="58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5">
      <c r="A250" s="34"/>
      <c r="B250" s="52" t="s">
        <v>459</v>
      </c>
      <c r="C250" s="34"/>
      <c r="D250" s="34"/>
      <c r="E250" s="34"/>
      <c r="F250" s="50">
        <f>F27*1.03</f>
        <v>0</v>
      </c>
      <c r="G250" s="34"/>
      <c r="H250" s="57" t="s">
        <v>322</v>
      </c>
      <c r="I250" s="58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5">
      <c r="A251" s="34"/>
      <c r="B251" s="52" t="s">
        <v>460</v>
      </c>
      <c r="C251" s="34"/>
      <c r="D251" s="34"/>
      <c r="E251" s="34"/>
      <c r="F251" s="50">
        <f>F247+F248-F249-F250</f>
        <v>0</v>
      </c>
      <c r="G251" s="34"/>
      <c r="H251" s="57" t="s">
        <v>324</v>
      </c>
      <c r="I251" s="59" t="s">
        <v>325</v>
      </c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5">
      <c r="A252" s="34"/>
      <c r="B252" s="52" t="s">
        <v>334</v>
      </c>
      <c r="C252" s="34"/>
      <c r="D252" s="34"/>
      <c r="E252" s="34"/>
      <c r="F252" s="106">
        <f>F235</f>
        <v>0</v>
      </c>
      <c r="G252" s="34"/>
      <c r="H252" s="57" t="s">
        <v>327</v>
      </c>
      <c r="I252" s="58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5">
      <c r="A253" s="34"/>
      <c r="B253" s="52" t="s">
        <v>461</v>
      </c>
      <c r="C253" s="34"/>
      <c r="D253" s="34"/>
      <c r="E253" s="34"/>
      <c r="F253" s="50" t="e">
        <f>F251/F252</f>
        <v>#DIV/0!</v>
      </c>
      <c r="G253" s="34"/>
      <c r="H253" s="57" t="s">
        <v>329</v>
      </c>
      <c r="I253" s="59" t="s">
        <v>330</v>
      </c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5">
      <c r="A254" s="34"/>
      <c r="B254" s="52" t="s">
        <v>462</v>
      </c>
      <c r="C254" s="34"/>
      <c r="D254" s="34"/>
      <c r="E254" s="34"/>
      <c r="F254" s="50" t="e">
        <f>F253*H239</f>
        <v>#DIV/0!</v>
      </c>
      <c r="G254" s="34"/>
      <c r="H254" s="57" t="s">
        <v>332</v>
      </c>
      <c r="I254" s="58" t="str">
        <f>"G*"&amp;H239</f>
        <v>G*1.0017</v>
      </c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5">
      <c r="A255" s="34"/>
      <c r="B255" s="52" t="s">
        <v>463</v>
      </c>
      <c r="C255" s="34"/>
      <c r="D255" s="34"/>
      <c r="E255" s="34"/>
      <c r="F255" s="106">
        <f>F236</f>
        <v>0</v>
      </c>
      <c r="G255" s="34"/>
      <c r="H255" s="57" t="s">
        <v>335</v>
      </c>
      <c r="I255" s="58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5">
      <c r="A256" s="34"/>
      <c r="B256" s="52" t="s">
        <v>464</v>
      </c>
      <c r="C256" s="34"/>
      <c r="D256" s="34"/>
      <c r="E256" s="34"/>
      <c r="F256" s="50" t="e">
        <f>F254*F255</f>
        <v>#DIV/0!</v>
      </c>
      <c r="G256" s="34"/>
      <c r="H256" s="57" t="s">
        <v>337</v>
      </c>
      <c r="I256" s="59" t="s">
        <v>338</v>
      </c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5">
      <c r="A257" s="34"/>
      <c r="B257" s="52" t="s">
        <v>465</v>
      </c>
      <c r="C257" s="34"/>
      <c r="D257" s="34"/>
      <c r="E257" s="34"/>
      <c r="F257" s="50">
        <f>F44</f>
        <v>0</v>
      </c>
      <c r="G257" s="34"/>
      <c r="H257" s="57" t="s">
        <v>340</v>
      </c>
      <c r="I257" s="58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5">
      <c r="A258" s="34"/>
      <c r="B258" s="52" t="s">
        <v>466</v>
      </c>
      <c r="C258" s="34"/>
      <c r="D258" s="34"/>
      <c r="E258" s="34"/>
      <c r="F258" s="50">
        <f>F250</f>
        <v>0</v>
      </c>
      <c r="G258" s="34"/>
      <c r="H258" s="57" t="s">
        <v>342</v>
      </c>
      <c r="I258" s="58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5">
      <c r="A259" s="34"/>
      <c r="B259" s="44"/>
      <c r="C259" s="34"/>
      <c r="D259" s="34"/>
      <c r="E259" s="34"/>
      <c r="F259" s="45"/>
      <c r="G259" s="34"/>
      <c r="H259" s="57"/>
      <c r="I259" s="58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5">
      <c r="A260" s="34"/>
      <c r="B260" s="46" t="s">
        <v>6</v>
      </c>
      <c r="C260" s="34"/>
      <c r="D260" s="34"/>
      <c r="E260" s="34"/>
      <c r="F260" s="109" t="e">
        <f>F256+F257+F258</f>
        <v>#DIV/0!</v>
      </c>
      <c r="G260" s="34"/>
      <c r="H260" s="61" t="s">
        <v>343</v>
      </c>
      <c r="I260" s="62" t="s">
        <v>344</v>
      </c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5">
      <c r="A261" s="34"/>
      <c r="B261" s="44"/>
      <c r="C261" s="34"/>
      <c r="D261" s="34"/>
      <c r="E261" s="34"/>
      <c r="F261" s="45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5">
      <c r="A262" s="34"/>
      <c r="B262" s="105" t="s">
        <v>467</v>
      </c>
      <c r="C262" s="34"/>
      <c r="D262" s="34"/>
      <c r="E262" s="34"/>
      <c r="F262" s="45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5">
      <c r="A263" s="34"/>
      <c r="B263" s="44"/>
      <c r="C263" s="34"/>
      <c r="D263" s="34"/>
      <c r="E263" s="34"/>
      <c r="F263" s="45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5">
      <c r="A264" s="34"/>
      <c r="B264" s="52" t="s">
        <v>468</v>
      </c>
      <c r="C264" s="34"/>
      <c r="D264" s="34"/>
      <c r="E264" s="34"/>
      <c r="F264" s="50" t="e">
        <f>F260</f>
        <v>#DIV/0!</v>
      </c>
      <c r="G264" s="34"/>
      <c r="H264" s="55" t="s">
        <v>316</v>
      </c>
      <c r="I264" s="56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5">
      <c r="A265" s="34"/>
      <c r="B265" s="52" t="s">
        <v>465</v>
      </c>
      <c r="C265" s="34"/>
      <c r="D265" s="34"/>
      <c r="E265" s="34"/>
      <c r="F265" s="50">
        <f>F28</f>
        <v>0</v>
      </c>
      <c r="G265" s="34"/>
      <c r="H265" s="57" t="s">
        <v>318</v>
      </c>
      <c r="I265" s="58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5">
      <c r="A266" s="34"/>
      <c r="B266" s="52" t="s">
        <v>469</v>
      </c>
      <c r="C266" s="34"/>
      <c r="D266" s="34"/>
      <c r="E266" s="34"/>
      <c r="F266" s="50">
        <f>F250*1.03</f>
        <v>0</v>
      </c>
      <c r="G266" s="34"/>
      <c r="H266" s="57" t="s">
        <v>320</v>
      </c>
      <c r="I266" s="58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5">
      <c r="A267" s="34"/>
      <c r="B267" s="52" t="s">
        <v>470</v>
      </c>
      <c r="C267" s="34"/>
      <c r="D267" s="34"/>
      <c r="E267" s="34"/>
      <c r="F267" s="50" t="e">
        <f>F264-F265-F266</f>
        <v>#DIV/0!</v>
      </c>
      <c r="G267" s="34"/>
      <c r="H267" s="57" t="s">
        <v>322</v>
      </c>
      <c r="I267" s="59" t="s">
        <v>471</v>
      </c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5">
      <c r="A268" s="34"/>
      <c r="B268" s="52" t="s">
        <v>463</v>
      </c>
      <c r="C268" s="34"/>
      <c r="D268" s="34"/>
      <c r="E268" s="34"/>
      <c r="F268" s="106">
        <f>F236</f>
        <v>0</v>
      </c>
      <c r="G268" s="34"/>
      <c r="H268" s="57" t="s">
        <v>324</v>
      </c>
      <c r="I268" s="58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5">
      <c r="A269" s="34"/>
      <c r="B269" s="52" t="s">
        <v>472</v>
      </c>
      <c r="C269" s="34"/>
      <c r="D269" s="34"/>
      <c r="E269" s="34"/>
      <c r="F269" s="50" t="e">
        <f>F267/F268</f>
        <v>#DIV/0!</v>
      </c>
      <c r="G269" s="34"/>
      <c r="H269" s="57" t="s">
        <v>327</v>
      </c>
      <c r="I269" s="59" t="s">
        <v>473</v>
      </c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5">
      <c r="A270" s="34"/>
      <c r="B270" s="52" t="s">
        <v>474</v>
      </c>
      <c r="C270" s="34"/>
      <c r="D270" s="34"/>
      <c r="E270" s="34"/>
      <c r="F270" s="50" t="e">
        <f>F269*H240</f>
        <v>#DIV/0!</v>
      </c>
      <c r="G270" s="34"/>
      <c r="H270" s="57" t="s">
        <v>329</v>
      </c>
      <c r="I270" s="58" t="str">
        <f>"G*"&amp;H240</f>
        <v>G*1.0017</v>
      </c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5">
      <c r="A271" s="34"/>
      <c r="B271" s="52" t="s">
        <v>475</v>
      </c>
      <c r="C271" s="34"/>
      <c r="D271" s="34"/>
      <c r="E271" s="34"/>
      <c r="F271" s="106">
        <f>F237</f>
        <v>0</v>
      </c>
      <c r="G271" s="34"/>
      <c r="H271" s="57" t="s">
        <v>332</v>
      </c>
      <c r="I271" s="58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5">
      <c r="A272" s="34"/>
      <c r="B272" s="52" t="s">
        <v>476</v>
      </c>
      <c r="C272" s="34"/>
      <c r="D272" s="34"/>
      <c r="E272" s="34"/>
      <c r="F272" s="50" t="e">
        <f>F270*F271</f>
        <v>#DIV/0!</v>
      </c>
      <c r="G272" s="34"/>
      <c r="H272" s="57" t="s">
        <v>335</v>
      </c>
      <c r="I272" s="59" t="s">
        <v>477</v>
      </c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5">
      <c r="A273" s="34"/>
      <c r="B273" s="52" t="s">
        <v>478</v>
      </c>
      <c r="C273" s="34"/>
      <c r="D273" s="34"/>
      <c r="E273" s="34"/>
      <c r="F273" s="50">
        <f>F257</f>
        <v>0</v>
      </c>
      <c r="G273" s="34"/>
      <c r="H273" s="57" t="s">
        <v>337</v>
      </c>
      <c r="I273" s="58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5">
      <c r="A274" s="34"/>
      <c r="B274" s="52" t="s">
        <v>479</v>
      </c>
      <c r="C274" s="34"/>
      <c r="D274" s="34"/>
      <c r="E274" s="34"/>
      <c r="F274" s="50">
        <f>F266</f>
        <v>0</v>
      </c>
      <c r="G274" s="34"/>
      <c r="H274" s="57" t="s">
        <v>340</v>
      </c>
      <c r="I274" s="58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5">
      <c r="A275" s="34"/>
      <c r="B275" s="44"/>
      <c r="C275" s="34"/>
      <c r="D275" s="34"/>
      <c r="E275" s="34"/>
      <c r="F275" s="45"/>
      <c r="G275" s="34"/>
      <c r="H275" s="57"/>
      <c r="I275" s="58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5">
      <c r="A276" s="34"/>
      <c r="B276" s="67" t="s">
        <v>6</v>
      </c>
      <c r="C276" s="68"/>
      <c r="D276" s="68"/>
      <c r="E276" s="68"/>
      <c r="F276" s="111" t="e">
        <f>F272+F273+F274</f>
        <v>#DIV/0!</v>
      </c>
      <c r="G276" s="34"/>
      <c r="H276" s="61" t="s">
        <v>342</v>
      </c>
      <c r="I276" s="62" t="s">
        <v>480</v>
      </c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spans="1:26" ht="15.5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spans="1:26" ht="15.5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  <row r="1003" spans="1:26" ht="15.5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</row>
    <row r="1004" spans="1:26" ht="15.5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</row>
    <row r="1005" spans="1:26" ht="15.5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</row>
    <row r="1006" spans="1:26" ht="15.5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</row>
    <row r="1007" spans="1:26" ht="15.5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</row>
    <row r="1008" spans="1:26" ht="15.5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</row>
    <row r="1009" spans="1:26" ht="15.5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</row>
    <row r="1010" spans="1:26" ht="15.5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</row>
    <row r="1011" spans="1:26" ht="15.5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</row>
    <row r="1012" spans="1:26" ht="15.5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</row>
    <row r="1013" spans="1:26" ht="15.5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</row>
    <row r="1014" spans="1:26" ht="15.5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</row>
    <row r="1015" spans="1:26" ht="15.5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</row>
    <row r="1016" spans="1:26" ht="15.5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4"/>
      <c r="Z1016" s="34"/>
    </row>
    <row r="1017" spans="1:26" ht="15.5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4"/>
      <c r="Z1017" s="34"/>
    </row>
    <row r="1018" spans="1:26" ht="15.5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4"/>
      <c r="Z1018" s="34"/>
    </row>
    <row r="1019" spans="1:26" ht="15.5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  <c r="V1019" s="34"/>
      <c r="W1019" s="34"/>
      <c r="X1019" s="34"/>
      <c r="Y1019" s="34"/>
      <c r="Z1019" s="34"/>
    </row>
    <row r="1020" spans="1:26" ht="15.5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  <c r="V1020" s="34"/>
      <c r="W1020" s="34"/>
      <c r="X1020" s="34"/>
      <c r="Y1020" s="34"/>
      <c r="Z1020" s="34"/>
    </row>
    <row r="1021" spans="1:26" ht="15.5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  <c r="V1021" s="34"/>
      <c r="W1021" s="34"/>
      <c r="X1021" s="34"/>
      <c r="Y1021" s="34"/>
      <c r="Z1021" s="34"/>
    </row>
    <row r="1022" spans="1:26" ht="15.5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34"/>
      <c r="V1022" s="34"/>
      <c r="W1022" s="34"/>
      <c r="X1022" s="34"/>
      <c r="Y1022" s="34"/>
      <c r="Z1022" s="34"/>
    </row>
    <row r="1023" spans="1:26" ht="15.5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34"/>
      <c r="V1023" s="34"/>
      <c r="W1023" s="34"/>
      <c r="X1023" s="34"/>
      <c r="Y1023" s="34"/>
      <c r="Z1023" s="34"/>
    </row>
    <row r="1024" spans="1:26" ht="15.5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  <c r="V1024" s="34"/>
      <c r="W1024" s="34"/>
      <c r="X1024" s="34"/>
      <c r="Y1024" s="34"/>
      <c r="Z1024" s="34"/>
    </row>
    <row r="1025" spans="1:26" ht="15.5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34"/>
      <c r="V1025" s="34"/>
      <c r="W1025" s="34"/>
      <c r="X1025" s="34"/>
      <c r="Y1025" s="34"/>
      <c r="Z1025" s="34"/>
    </row>
    <row r="1026" spans="1:26" ht="15.5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  <c r="V1026" s="34"/>
      <c r="W1026" s="34"/>
      <c r="X1026" s="34"/>
      <c r="Y1026" s="34"/>
      <c r="Z1026" s="34"/>
    </row>
    <row r="1027" spans="1:26" ht="15.5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34"/>
      <c r="V1027" s="34"/>
      <c r="W1027" s="34"/>
      <c r="X1027" s="34"/>
      <c r="Y1027" s="34"/>
      <c r="Z1027" s="34"/>
    </row>
    <row r="1028" spans="1:26" ht="15.5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34"/>
      <c r="V1028" s="34"/>
      <c r="W1028" s="34"/>
      <c r="X1028" s="34"/>
      <c r="Y1028" s="34"/>
      <c r="Z1028" s="34"/>
    </row>
    <row r="1029" spans="1:26" ht="15.5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  <c r="U1029" s="34"/>
      <c r="V1029" s="34"/>
      <c r="W1029" s="34"/>
      <c r="X1029" s="34"/>
      <c r="Y1029" s="34"/>
      <c r="Z1029" s="34"/>
    </row>
    <row r="1030" spans="1:26" ht="15.5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  <c r="U1030" s="34"/>
      <c r="V1030" s="34"/>
      <c r="W1030" s="34"/>
      <c r="X1030" s="34"/>
      <c r="Y1030" s="34"/>
      <c r="Z1030" s="34"/>
    </row>
    <row r="1031" spans="1:26" ht="15.5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  <c r="U1031" s="34"/>
      <c r="V1031" s="34"/>
      <c r="W1031" s="34"/>
      <c r="X1031" s="34"/>
      <c r="Y1031" s="34"/>
      <c r="Z1031" s="34"/>
    </row>
    <row r="1032" spans="1:26" ht="15.5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  <c r="U1032" s="34"/>
      <c r="V1032" s="34"/>
      <c r="W1032" s="34"/>
      <c r="X1032" s="34"/>
      <c r="Y1032" s="34"/>
      <c r="Z1032" s="34"/>
    </row>
    <row r="1033" spans="1:26" ht="15.5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  <c r="U1033" s="34"/>
      <c r="V1033" s="34"/>
      <c r="W1033" s="34"/>
      <c r="X1033" s="34"/>
      <c r="Y1033" s="34"/>
      <c r="Z1033" s="34"/>
    </row>
    <row r="1034" spans="1:26" ht="15.5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34"/>
      <c r="V1034" s="34"/>
      <c r="W1034" s="34"/>
      <c r="X1034" s="34"/>
      <c r="Y1034" s="34"/>
      <c r="Z1034" s="34"/>
    </row>
    <row r="1035" spans="1:26" ht="15.5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</row>
    <row r="1036" spans="1:26" ht="15.5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  <c r="U1036" s="34"/>
      <c r="V1036" s="34"/>
      <c r="W1036" s="34"/>
      <c r="X1036" s="34"/>
      <c r="Y1036" s="34"/>
      <c r="Z1036" s="34"/>
    </row>
    <row r="1037" spans="1:26" ht="15.5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  <c r="U1037" s="34"/>
      <c r="V1037" s="34"/>
      <c r="W1037" s="34"/>
      <c r="X1037" s="34"/>
      <c r="Y1037" s="34"/>
      <c r="Z1037" s="34"/>
    </row>
    <row r="1038" spans="1:26" ht="15.5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  <c r="U1038" s="34"/>
      <c r="V1038" s="34"/>
      <c r="W1038" s="34"/>
      <c r="X1038" s="34"/>
      <c r="Y1038" s="34"/>
      <c r="Z1038" s="34"/>
    </row>
    <row r="1039" spans="1:26" ht="15.5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  <c r="U1039" s="34"/>
      <c r="V1039" s="34"/>
      <c r="W1039" s="34"/>
      <c r="X1039" s="34"/>
      <c r="Y1039" s="34"/>
      <c r="Z1039" s="34"/>
    </row>
    <row r="1040" spans="1:26" ht="15.5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  <c r="U1040" s="34"/>
      <c r="V1040" s="34"/>
      <c r="W1040" s="34"/>
      <c r="X1040" s="34"/>
      <c r="Y1040" s="34"/>
      <c r="Z1040" s="34"/>
    </row>
    <row r="1041" spans="1:26" ht="15.5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  <c r="U1041" s="34"/>
      <c r="V1041" s="34"/>
      <c r="W1041" s="34"/>
      <c r="X1041" s="34"/>
      <c r="Y1041" s="34"/>
      <c r="Z1041" s="34"/>
    </row>
    <row r="1042" spans="1:26" ht="15.5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34"/>
      <c r="V1042" s="34"/>
      <c r="W1042" s="34"/>
      <c r="X1042" s="34"/>
      <c r="Y1042" s="34"/>
      <c r="Z1042" s="34"/>
    </row>
    <row r="1043" spans="1:26" ht="15.5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34"/>
      <c r="V1043" s="34"/>
      <c r="W1043" s="34"/>
      <c r="X1043" s="34"/>
      <c r="Y1043" s="34"/>
      <c r="Z1043" s="34"/>
    </row>
    <row r="1044" spans="1:26" ht="15.5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  <c r="U1044" s="34"/>
      <c r="V1044" s="34"/>
      <c r="W1044" s="34"/>
      <c r="X1044" s="34"/>
      <c r="Y1044" s="34"/>
      <c r="Z1044" s="34"/>
    </row>
    <row r="1045" spans="1:26" ht="15.5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  <c r="U1045" s="34"/>
      <c r="V1045" s="34"/>
      <c r="W1045" s="34"/>
      <c r="X1045" s="34"/>
      <c r="Y1045" s="34"/>
      <c r="Z1045" s="34"/>
    </row>
    <row r="1046" spans="1:26" ht="15.5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  <c r="U1046" s="34"/>
      <c r="V1046" s="34"/>
      <c r="W1046" s="34"/>
      <c r="X1046" s="34"/>
      <c r="Y1046" s="34"/>
      <c r="Z1046" s="34"/>
    </row>
    <row r="1047" spans="1:26" ht="15.5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  <c r="U1047" s="34"/>
      <c r="V1047" s="34"/>
      <c r="W1047" s="34"/>
      <c r="X1047" s="34"/>
      <c r="Y1047" s="34"/>
      <c r="Z1047" s="34"/>
    </row>
    <row r="1048" spans="1:26" ht="15.5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  <c r="U1048" s="34"/>
      <c r="V1048" s="34"/>
      <c r="W1048" s="34"/>
      <c r="X1048" s="34"/>
      <c r="Y1048" s="34"/>
      <c r="Z1048" s="34"/>
    </row>
    <row r="1049" spans="1:26" ht="15.5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  <c r="U1049" s="34"/>
      <c r="V1049" s="34"/>
      <c r="W1049" s="34"/>
      <c r="X1049" s="34"/>
      <c r="Y1049" s="34"/>
      <c r="Z1049" s="34"/>
    </row>
    <row r="1050" spans="1:26" ht="15.5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34"/>
      <c r="V1050" s="34"/>
      <c r="W1050" s="34"/>
      <c r="X1050" s="34"/>
      <c r="Y1050" s="34"/>
      <c r="Z1050" s="34"/>
    </row>
    <row r="1051" spans="1:26" ht="15.5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34"/>
      <c r="V1051" s="34"/>
      <c r="W1051" s="34"/>
      <c r="X1051" s="34"/>
      <c r="Y1051" s="34"/>
      <c r="Z1051" s="34"/>
    </row>
    <row r="1052" spans="1:26" ht="15.5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34"/>
      <c r="V1052" s="34"/>
      <c r="W1052" s="34"/>
      <c r="X1052" s="34"/>
      <c r="Y1052" s="34"/>
      <c r="Z1052" s="34"/>
    </row>
    <row r="1053" spans="1:26" ht="15.5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  <c r="U1053" s="34"/>
      <c r="V1053" s="34"/>
      <c r="W1053" s="34"/>
      <c r="X1053" s="34"/>
      <c r="Y1053" s="34"/>
      <c r="Z1053" s="34"/>
    </row>
    <row r="1054" spans="1:26" ht="15.5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  <c r="U1054" s="34"/>
      <c r="V1054" s="34"/>
      <c r="W1054" s="34"/>
      <c r="X1054" s="34"/>
      <c r="Y1054" s="34"/>
      <c r="Z1054" s="34"/>
    </row>
    <row r="1055" spans="1:26" ht="15.5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  <c r="U1055" s="34"/>
      <c r="V1055" s="34"/>
      <c r="W1055" s="34"/>
      <c r="X1055" s="34"/>
      <c r="Y1055" s="34"/>
      <c r="Z1055" s="34"/>
    </row>
    <row r="1056" spans="1:26" ht="15.5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  <c r="U1056" s="34"/>
      <c r="V1056" s="34"/>
      <c r="W1056" s="34"/>
      <c r="X1056" s="34"/>
      <c r="Y1056" s="34"/>
      <c r="Z1056" s="34"/>
    </row>
    <row r="1057" spans="1:26" ht="15.5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  <c r="U1057" s="34"/>
      <c r="V1057" s="34"/>
      <c r="W1057" s="34"/>
      <c r="X1057" s="34"/>
      <c r="Y1057" s="34"/>
      <c r="Z1057" s="34"/>
    </row>
    <row r="1058" spans="1:26" ht="15.5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34"/>
      <c r="V1058" s="34"/>
      <c r="W1058" s="34"/>
      <c r="X1058" s="34"/>
      <c r="Y1058" s="34"/>
      <c r="Z1058" s="34"/>
    </row>
    <row r="1059" spans="1:26" ht="15.5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34"/>
      <c r="V1059" s="34"/>
      <c r="W1059" s="34"/>
      <c r="X1059" s="34"/>
      <c r="Y1059" s="34"/>
      <c r="Z1059" s="34"/>
    </row>
    <row r="1060" spans="1:26" ht="15.5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  <c r="U1060" s="34"/>
      <c r="V1060" s="34"/>
      <c r="W1060" s="34"/>
      <c r="X1060" s="34"/>
      <c r="Y1060" s="34"/>
      <c r="Z1060" s="34"/>
    </row>
    <row r="1061" spans="1:26" ht="15.5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  <c r="U1061" s="34"/>
      <c r="V1061" s="34"/>
      <c r="W1061" s="34"/>
      <c r="X1061" s="34"/>
      <c r="Y1061" s="34"/>
      <c r="Z1061" s="34"/>
    </row>
    <row r="1062" spans="1:26" ht="15.5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  <c r="U1062" s="34"/>
      <c r="V1062" s="34"/>
      <c r="W1062" s="34"/>
      <c r="X1062" s="34"/>
      <c r="Y1062" s="34"/>
      <c r="Z1062" s="34"/>
    </row>
    <row r="1063" spans="1:26" ht="15.5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  <c r="U1063" s="34"/>
      <c r="V1063" s="34"/>
      <c r="W1063" s="34"/>
      <c r="X1063" s="34"/>
      <c r="Y1063" s="34"/>
      <c r="Z1063" s="34"/>
    </row>
    <row r="1064" spans="1:26" ht="15.5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  <c r="U1064" s="34"/>
      <c r="V1064" s="34"/>
      <c r="W1064" s="34"/>
      <c r="X1064" s="34"/>
      <c r="Y1064" s="34"/>
      <c r="Z1064" s="34"/>
    </row>
    <row r="1065" spans="1:26" ht="15.5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  <c r="U1065" s="34"/>
      <c r="V1065" s="34"/>
      <c r="W1065" s="34"/>
      <c r="X1065" s="34"/>
      <c r="Y1065" s="34"/>
      <c r="Z1065" s="34"/>
    </row>
    <row r="1066" spans="1:26" ht="15.5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34"/>
      <c r="V1066" s="34"/>
      <c r="W1066" s="34"/>
      <c r="X1066" s="34"/>
      <c r="Y1066" s="34"/>
      <c r="Z1066" s="34"/>
    </row>
    <row r="1067" spans="1:26" ht="15.5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34"/>
      <c r="V1067" s="34"/>
      <c r="W1067" s="34"/>
      <c r="X1067" s="34"/>
      <c r="Y1067" s="34"/>
      <c r="Z1067" s="34"/>
    </row>
    <row r="1068" spans="1:26" ht="15.5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  <c r="U1068" s="34"/>
      <c r="V1068" s="34"/>
      <c r="W1068" s="34"/>
      <c r="X1068" s="34"/>
      <c r="Y1068" s="34"/>
      <c r="Z1068" s="34"/>
    </row>
    <row r="1069" spans="1:26" ht="15.5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  <c r="V1069" s="34"/>
      <c r="W1069" s="34"/>
      <c r="X1069" s="34"/>
      <c r="Y1069" s="34"/>
      <c r="Z1069" s="34"/>
    </row>
    <row r="1070" spans="1:26" ht="15.5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  <c r="U1070" s="34"/>
      <c r="V1070" s="34"/>
      <c r="W1070" s="34"/>
      <c r="X1070" s="34"/>
      <c r="Y1070" s="34"/>
      <c r="Z1070" s="34"/>
    </row>
    <row r="1071" spans="1:26" ht="15.5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  <c r="U1071" s="34"/>
      <c r="V1071" s="34"/>
      <c r="W1071" s="34"/>
      <c r="X1071" s="34"/>
      <c r="Y1071" s="34"/>
      <c r="Z1071" s="34"/>
    </row>
    <row r="1072" spans="1:26" ht="15.5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  <c r="U1072" s="34"/>
      <c r="V1072" s="34"/>
      <c r="W1072" s="34"/>
      <c r="X1072" s="34"/>
      <c r="Y1072" s="34"/>
      <c r="Z1072" s="34"/>
    </row>
    <row r="1073" spans="1:26" ht="15.5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  <c r="U1073" s="34"/>
      <c r="V1073" s="34"/>
      <c r="W1073" s="34"/>
      <c r="X1073" s="34"/>
      <c r="Y1073" s="34"/>
      <c r="Z1073" s="34"/>
    </row>
    <row r="1074" spans="1:26" ht="15.5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34"/>
      <c r="V1074" s="34"/>
      <c r="W1074" s="34"/>
      <c r="X1074" s="34"/>
      <c r="Y1074" s="34"/>
      <c r="Z1074" s="34"/>
    </row>
    <row r="1075" spans="1:26" ht="15.5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34"/>
      <c r="V1075" s="34"/>
      <c r="W1075" s="34"/>
      <c r="X1075" s="34"/>
      <c r="Y1075" s="34"/>
      <c r="Z1075" s="34"/>
    </row>
    <row r="1076" spans="1:26" ht="15.5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  <c r="U1076" s="34"/>
      <c r="V1076" s="34"/>
      <c r="W1076" s="34"/>
      <c r="X1076" s="34"/>
      <c r="Y1076" s="34"/>
      <c r="Z1076" s="34"/>
    </row>
    <row r="1077" spans="1:26" ht="15.5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  <c r="O1077" s="34"/>
      <c r="P1077" s="34"/>
      <c r="Q1077" s="34"/>
      <c r="R1077" s="34"/>
      <c r="S1077" s="34"/>
      <c r="T1077" s="34"/>
      <c r="U1077" s="34"/>
      <c r="V1077" s="34"/>
      <c r="W1077" s="34"/>
      <c r="X1077" s="34"/>
      <c r="Y1077" s="34"/>
      <c r="Z1077" s="34"/>
    </row>
    <row r="1078" spans="1:26" ht="15.5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  <c r="O1078" s="34"/>
      <c r="P1078" s="34"/>
      <c r="Q1078" s="34"/>
      <c r="R1078" s="34"/>
      <c r="S1078" s="34"/>
      <c r="T1078" s="34"/>
      <c r="U1078" s="34"/>
      <c r="V1078" s="34"/>
      <c r="W1078" s="34"/>
      <c r="X1078" s="34"/>
      <c r="Y1078" s="34"/>
      <c r="Z1078" s="34"/>
    </row>
    <row r="1079" spans="1:26" ht="15.5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  <c r="O1079" s="34"/>
      <c r="P1079" s="34"/>
      <c r="Q1079" s="34"/>
      <c r="R1079" s="34"/>
      <c r="S1079" s="34"/>
      <c r="T1079" s="34"/>
      <c r="U1079" s="34"/>
      <c r="V1079" s="34"/>
      <c r="W1079" s="34"/>
      <c r="X1079" s="34"/>
      <c r="Y1079" s="34"/>
      <c r="Z1079" s="34"/>
    </row>
    <row r="1080" spans="1:26" ht="15.5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  <c r="O1080" s="34"/>
      <c r="P1080" s="34"/>
      <c r="Q1080" s="34"/>
      <c r="R1080" s="34"/>
      <c r="S1080" s="34"/>
      <c r="T1080" s="34"/>
      <c r="U1080" s="34"/>
      <c r="V1080" s="34"/>
      <c r="W1080" s="34"/>
      <c r="X1080" s="34"/>
      <c r="Y1080" s="34"/>
      <c r="Z1080" s="34"/>
    </row>
    <row r="1081" spans="1:26" ht="15.5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  <c r="O1081" s="34"/>
      <c r="P1081" s="34"/>
      <c r="Q1081" s="34"/>
      <c r="R1081" s="34"/>
      <c r="S1081" s="34"/>
      <c r="T1081" s="34"/>
      <c r="U1081" s="34"/>
      <c r="V1081" s="34"/>
      <c r="W1081" s="34"/>
      <c r="X1081" s="34"/>
      <c r="Y1081" s="34"/>
      <c r="Z1081" s="34"/>
    </row>
    <row r="1082" spans="1:26" ht="15.5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  <c r="O1082" s="34"/>
      <c r="P1082" s="34"/>
      <c r="Q1082" s="34"/>
      <c r="R1082" s="34"/>
      <c r="S1082" s="34"/>
      <c r="T1082" s="34"/>
      <c r="U1082" s="34"/>
      <c r="V1082" s="34"/>
      <c r="W1082" s="34"/>
      <c r="X1082" s="34"/>
      <c r="Y1082" s="34"/>
      <c r="Z1082" s="34"/>
    </row>
    <row r="1083" spans="1:26" ht="15.5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  <c r="U1083" s="34"/>
      <c r="V1083" s="34"/>
      <c r="W1083" s="34"/>
      <c r="X1083" s="34"/>
      <c r="Y1083" s="34"/>
      <c r="Z1083" s="34"/>
    </row>
    <row r="1084" spans="1:26" ht="15.5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  <c r="O1084" s="34"/>
      <c r="P1084" s="34"/>
      <c r="Q1084" s="34"/>
      <c r="R1084" s="34"/>
      <c r="S1084" s="34"/>
      <c r="T1084" s="34"/>
      <c r="U1084" s="34"/>
      <c r="V1084" s="34"/>
      <c r="W1084" s="34"/>
      <c r="X1084" s="34"/>
      <c r="Y1084" s="34"/>
      <c r="Z1084" s="34"/>
    </row>
    <row r="1085" spans="1:26" ht="15.5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  <c r="O1085" s="34"/>
      <c r="P1085" s="34"/>
      <c r="Q1085" s="34"/>
      <c r="R1085" s="34"/>
      <c r="S1085" s="34"/>
      <c r="T1085" s="34"/>
      <c r="U1085" s="34"/>
      <c r="V1085" s="34"/>
      <c r="W1085" s="34"/>
      <c r="X1085" s="34"/>
      <c r="Y1085" s="34"/>
      <c r="Z1085" s="34"/>
    </row>
    <row r="1086" spans="1:26" ht="15.5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  <c r="O1086" s="34"/>
      <c r="P1086" s="34"/>
      <c r="Q1086" s="34"/>
      <c r="R1086" s="34"/>
      <c r="S1086" s="34"/>
      <c r="T1086" s="34"/>
      <c r="U1086" s="34"/>
      <c r="V1086" s="34"/>
      <c r="W1086" s="34"/>
      <c r="X1086" s="34"/>
      <c r="Y1086" s="34"/>
      <c r="Z1086" s="34"/>
    </row>
    <row r="1087" spans="1:26" ht="15.5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  <c r="O1087" s="34"/>
      <c r="P1087" s="34"/>
      <c r="Q1087" s="34"/>
      <c r="R1087" s="34"/>
      <c r="S1087" s="34"/>
      <c r="T1087" s="34"/>
      <c r="U1087" s="34"/>
      <c r="V1087" s="34"/>
      <c r="W1087" s="34"/>
      <c r="X1087" s="34"/>
      <c r="Y1087" s="34"/>
      <c r="Z1087" s="34"/>
    </row>
    <row r="1088" spans="1:26" ht="15.5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  <c r="O1088" s="34"/>
      <c r="P1088" s="34"/>
      <c r="Q1088" s="34"/>
      <c r="R1088" s="34"/>
      <c r="S1088" s="34"/>
      <c r="T1088" s="34"/>
      <c r="U1088" s="34"/>
      <c r="V1088" s="34"/>
      <c r="W1088" s="34"/>
      <c r="X1088" s="34"/>
      <c r="Y1088" s="34"/>
      <c r="Z1088" s="34"/>
    </row>
    <row r="1089" spans="1:26" ht="15.5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  <c r="O1089" s="34"/>
      <c r="P1089" s="34"/>
      <c r="Q1089" s="34"/>
      <c r="R1089" s="34"/>
      <c r="S1089" s="34"/>
      <c r="T1089" s="34"/>
      <c r="U1089" s="34"/>
      <c r="V1089" s="34"/>
      <c r="W1089" s="34"/>
      <c r="X1089" s="34"/>
      <c r="Y1089" s="34"/>
      <c r="Z1089" s="34"/>
    </row>
    <row r="1090" spans="1:26" ht="15.5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  <c r="O1090" s="34"/>
      <c r="P1090" s="34"/>
      <c r="Q1090" s="34"/>
      <c r="R1090" s="34"/>
      <c r="S1090" s="34"/>
      <c r="T1090" s="34"/>
      <c r="U1090" s="34"/>
      <c r="V1090" s="34"/>
      <c r="W1090" s="34"/>
      <c r="X1090" s="34"/>
      <c r="Y1090" s="34"/>
      <c r="Z1090" s="34"/>
    </row>
    <row r="1091" spans="1:26" ht="15.5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  <c r="O1091" s="34"/>
      <c r="P1091" s="34"/>
      <c r="Q1091" s="34"/>
      <c r="R1091" s="34"/>
      <c r="S1091" s="34"/>
      <c r="T1091" s="34"/>
      <c r="U1091" s="34"/>
      <c r="V1091" s="34"/>
      <c r="W1091" s="34"/>
      <c r="X1091" s="34"/>
      <c r="Y1091" s="34"/>
      <c r="Z1091" s="34"/>
    </row>
    <row r="1092" spans="1:26" ht="15.5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  <c r="U1092" s="34"/>
      <c r="V1092" s="34"/>
      <c r="W1092" s="34"/>
      <c r="X1092" s="34"/>
      <c r="Y1092" s="34"/>
      <c r="Z1092" s="34"/>
    </row>
    <row r="1093" spans="1:26" ht="15.5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  <c r="O1093" s="34"/>
      <c r="P1093" s="34"/>
      <c r="Q1093" s="34"/>
      <c r="R1093" s="34"/>
      <c r="S1093" s="34"/>
      <c r="T1093" s="34"/>
      <c r="U1093" s="34"/>
      <c r="V1093" s="34"/>
      <c r="W1093" s="34"/>
      <c r="X1093" s="34"/>
      <c r="Y1093" s="34"/>
      <c r="Z1093" s="34"/>
    </row>
  </sheetData>
  <sheetProtection algorithmName="SHA-512" hashValue="7PmDnyf+KESRGGY9m9IOCHqqrWleoaa6Pn7UKHQUjDsKLc3m+yc6SnlXyAHyA4npAHDXUcY21IGyGAVEUvqHsA==" saltValue="tT0WiEooinbYcJ5qL/xjQg==" spinCount="100000" sheet="1" objects="1" scenarios="1"/>
  <hyperlinks>
    <hyperlink ref="B128" r:id="rId1"/>
    <hyperlink ref="B141" r:id="rId2"/>
    <hyperlink ref="B151" r:id="rId3"/>
    <hyperlink ref="B181" r:id="rId4"/>
    <hyperlink ref="B197" r:id="rId5"/>
    <hyperlink ref="B212" r:id="rId6" location=":~:text=The%20school%2Dled%20tutoring%20grant%20is%20to%20support%20disadvantaged%20pupils,of%20disadvantage%20or%20additional%20needs."/>
  </hyperlinks>
  <pageMargins left="0.7" right="0.7" top="0.75" bottom="0.75" header="0" footer="0"/>
  <pageSetup orientation="landscape"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ISB!$C$7:$C$62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ISB</vt:lpstr>
      <vt:lpstr>Budget 202324</vt:lpstr>
      <vt:lpstr>DFE</vt:lpstr>
      <vt:lpstr>PASSCODE</vt:lpstr>
      <vt:lpstr>Test1</vt:lpstr>
      <vt:lpstr>Test10</vt:lpstr>
      <vt:lpstr>Test11</vt:lpstr>
      <vt:lpstr>Test12</vt:lpstr>
      <vt:lpstr>Test13</vt:lpstr>
      <vt:lpstr>Test14</vt:lpstr>
      <vt:lpstr>Test15</vt:lpstr>
      <vt:lpstr>Test16</vt:lpstr>
      <vt:lpstr>Test17</vt:lpstr>
      <vt:lpstr>Test18</vt:lpstr>
      <vt:lpstr>Test2</vt:lpstr>
      <vt:lpstr>Test3</vt:lpstr>
      <vt:lpstr>Test4</vt:lpstr>
      <vt:lpstr>Test5</vt:lpstr>
      <vt:lpstr>Test6</vt:lpstr>
      <vt:lpstr>Test7</vt:lpstr>
      <vt:lpstr>Test8</vt:lpstr>
      <vt:lpstr>Test9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Scott</dc:creator>
  <cp:lastModifiedBy>Ophelia Carter</cp:lastModifiedBy>
  <dcterms:created xsi:type="dcterms:W3CDTF">2023-01-13T11:24:06Z</dcterms:created>
  <dcterms:modified xsi:type="dcterms:W3CDTF">2023-03-31T15:02:03Z</dcterms:modified>
</cp:coreProperties>
</file>