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itoring" sheetId="1" r:id="rId4"/>
    <sheet state="visible" name="Analysis" sheetId="2" r:id="rId5"/>
  </sheets>
  <definedNames/>
  <calcPr/>
  <extLst>
    <ext uri="GoogleSheetsCustomDataVersion2">
      <go:sheetsCustomData xmlns:go="http://customooxmlschemas.google.com/" r:id="rId6" roundtripDataChecksum="jnpbDmeY1k73/Zo4kUF+piqDxcpgFYCp8esWcPdPwhs="/>
    </ext>
  </extLst>
</workbook>
</file>

<file path=xl/sharedStrings.xml><?xml version="1.0" encoding="utf-8"?>
<sst xmlns="http://schemas.openxmlformats.org/spreadsheetml/2006/main" count="140" uniqueCount="135">
  <si>
    <t>Year:</t>
  </si>
  <si>
    <t>26-27</t>
  </si>
  <si>
    <t>DfE Number:</t>
  </si>
  <si>
    <t>Budget Monitoring Report</t>
  </si>
  <si>
    <t>Period:</t>
  </si>
  <si>
    <t>Month:</t>
  </si>
  <si>
    <t>May</t>
  </si>
  <si>
    <t>BUDGET</t>
  </si>
  <si>
    <t>FORECAST</t>
  </si>
  <si>
    <t>YEAR TO DATE</t>
  </si>
  <si>
    <t>PROJECTED</t>
  </si>
  <si>
    <t>YEAR END</t>
  </si>
  <si>
    <t>CFR</t>
  </si>
  <si>
    <t>2026-2027</t>
  </si>
  <si>
    <t>Original</t>
  </si>
  <si>
    <t>Virements</t>
  </si>
  <si>
    <t>Current</t>
  </si>
  <si>
    <t>Commitments</t>
  </si>
  <si>
    <t xml:space="preserve">Actual </t>
  </si>
  <si>
    <t>Budget</t>
  </si>
  <si>
    <t>Variance</t>
  </si>
  <si>
    <t>% of Annual Budget</t>
  </si>
  <si>
    <t>Adjustments (+/-)</t>
  </si>
  <si>
    <t>Year End Balance</t>
  </si>
  <si>
    <t>Variance to Budget</t>
  </si>
  <si>
    <t>Notes</t>
  </si>
  <si>
    <t>Opening Balances</t>
  </si>
  <si>
    <t>OB01-Committed Revenue Balance</t>
  </si>
  <si>
    <t>OB02-Other Revenue Balances</t>
  </si>
  <si>
    <t>OB03-Devolved Formula Capital Balances</t>
  </si>
  <si>
    <t>OB04-Other Standards Fund Capital Balances</t>
  </si>
  <si>
    <t>OB05-Other Capital Balances</t>
  </si>
  <si>
    <t xml:space="preserve">OB06-Community focused extended school balances </t>
  </si>
  <si>
    <t>Total Balances Brought Forward</t>
  </si>
  <si>
    <t>Expenditure</t>
  </si>
  <si>
    <t>E01-Teaching Staff</t>
  </si>
  <si>
    <t>E02-Supply Staff (Payroll)</t>
  </si>
  <si>
    <t>E26-Agency Supply Staff</t>
  </si>
  <si>
    <t>TOTAL TEACHING STAFF</t>
  </si>
  <si>
    <t>E03-Education Support Staff</t>
  </si>
  <si>
    <t>E04-Premises Staff</t>
  </si>
  <si>
    <t>E05-Administrative &amp; Clerical Staff</t>
  </si>
  <si>
    <t>E06-Catering Staff</t>
  </si>
  <si>
    <t>E07-Cost of Other Staff</t>
  </si>
  <si>
    <t>TOTAL NON-TEACHING STAFF</t>
  </si>
  <si>
    <t>E08-Indirect Employee Expenses</t>
  </si>
  <si>
    <t>E09-Staff Development &amp; Training</t>
  </si>
  <si>
    <t>E10-Supply Teacher Insurance</t>
  </si>
  <si>
    <t>E11-Staff Related Insurance</t>
  </si>
  <si>
    <t>TOTAL OTHER STAFF COSTS</t>
  </si>
  <si>
    <t>E12-Building Maintenance &amp; Improvement</t>
  </si>
  <si>
    <t>E13-Grounds Maintenance &amp; Improvement</t>
  </si>
  <si>
    <t>E14-Cleaning &amp; Caretaking</t>
  </si>
  <si>
    <t>E15-Water &amp; Sewerage</t>
  </si>
  <si>
    <t>E16-Energy</t>
  </si>
  <si>
    <t>E17-Rates</t>
  </si>
  <si>
    <t>E18-Other Occupation Costs</t>
  </si>
  <si>
    <t>E23-Other Insurance Premiums</t>
  </si>
  <si>
    <t>TOTAL PREMISES COSTS</t>
  </si>
  <si>
    <t>E19-Learning Resources (not ICT)</t>
  </si>
  <si>
    <t>E20A-Connectivity</t>
  </si>
  <si>
    <t>E20B - Onsite Servers</t>
  </si>
  <si>
    <t>E20C - IT Learning Resources</t>
  </si>
  <si>
    <t>E20D - Administration Software and Systems</t>
  </si>
  <si>
    <t>E20E - Laptops, Desktops and Tablets</t>
  </si>
  <si>
    <t>E20F - Other Hardware</t>
  </si>
  <si>
    <t>E20G - IT Support</t>
  </si>
  <si>
    <t>E21-Exam Fees</t>
  </si>
  <si>
    <t>E27-Bought in Professional Services - Curric</t>
  </si>
  <si>
    <t>TOTAL LEARNING RESOURCES</t>
  </si>
  <si>
    <t>E22-Administrative Supplies</t>
  </si>
  <si>
    <t>E24-Special Facilities</t>
  </si>
  <si>
    <t>E25-Catering Supplies</t>
  </si>
  <si>
    <t>E28a-Bought in Professional Services - Other (except PFI)</t>
  </si>
  <si>
    <t>E28b-Bought in Professional Services - Other (PFI)</t>
  </si>
  <si>
    <t>E29-Loan Interest</t>
  </si>
  <si>
    <t>E30-Direct Revenue Financing</t>
  </si>
  <si>
    <t xml:space="preserve">E31-Community focused extended school staff </t>
  </si>
  <si>
    <t>E32-Community focused extended school costs</t>
  </si>
  <si>
    <t>TOTAL OTHER SUPPLIES &amp; SERVICES</t>
  </si>
  <si>
    <t>Total Expenditure</t>
  </si>
  <si>
    <t>Income</t>
  </si>
  <si>
    <t>I01-Funds Delegated by LEA</t>
  </si>
  <si>
    <t>I02-Funding for 6 Form Students</t>
  </si>
  <si>
    <t>I03-SEN Funding</t>
  </si>
  <si>
    <t>I04-Funding for Minority Ethnic Pupils</t>
  </si>
  <si>
    <t>I05-Pupil Premium</t>
  </si>
  <si>
    <t>I14-SSG – pupil focused</t>
  </si>
  <si>
    <t>TOTAL CENTRAL INCOME</t>
  </si>
  <si>
    <t>I06-Other Government Grants</t>
  </si>
  <si>
    <t>I07-Other Grants and Payments</t>
  </si>
  <si>
    <t>I08a-Income - Letting Premises</t>
  </si>
  <si>
    <t>I08b-Other Income - Facilities and Services</t>
  </si>
  <si>
    <t>I09-Income - Catering</t>
  </si>
  <si>
    <t>I10-Receipts - Supply Teacher Claims</t>
  </si>
  <si>
    <t>I11-Receipts - Other Insurance Claims</t>
  </si>
  <si>
    <t>I12-Income - Contributions to Visits, etc</t>
  </si>
  <si>
    <t>I13-Donations / Private Funds</t>
  </si>
  <si>
    <t xml:space="preserve">I15-Pupil focused extended school funding and/or grants </t>
  </si>
  <si>
    <t xml:space="preserve">I16-Comm focused extended school funding and/or grants </t>
  </si>
  <si>
    <t>I17-Extended School</t>
  </si>
  <si>
    <t>TOTAL OTHER INCOME</t>
  </si>
  <si>
    <t>Total Income</t>
  </si>
  <si>
    <t>In-Year Revenue Balance</t>
  </si>
  <si>
    <t>Carryforwards</t>
  </si>
  <si>
    <t>B01-Committed Revenue Balance</t>
  </si>
  <si>
    <t>B02-Other Revenue Balances</t>
  </si>
  <si>
    <t xml:space="preserve">B06-Community focused extended school balances </t>
  </si>
  <si>
    <t>Total Carryforwards</t>
  </si>
  <si>
    <t>Total Revenue Balance</t>
  </si>
  <si>
    <t>Projected Year End Balance for 2022-23 financial year:</t>
  </si>
  <si>
    <t>Capital Expenditure</t>
  </si>
  <si>
    <t>CE01-Acquisition of land and existing buildings</t>
  </si>
  <si>
    <t>CE02-New construction, conversion, and renovation</t>
  </si>
  <si>
    <t>CE03-Vehicles, plant, equipment and machinery</t>
  </si>
  <si>
    <t>CE04-Information and communications technology (ICT)</t>
  </si>
  <si>
    <t>Total Capital Expenditure</t>
  </si>
  <si>
    <t>Capital Income</t>
  </si>
  <si>
    <t>CI01-Capital Income</t>
  </si>
  <si>
    <t>CI03-Private Income</t>
  </si>
  <si>
    <t>CI04-Direct Revenue Financing</t>
  </si>
  <si>
    <t>TC24 Capital ICT</t>
  </si>
  <si>
    <t>Total Capital Income</t>
  </si>
  <si>
    <t>B03-Devolved Formula Capital Balances</t>
  </si>
  <si>
    <t>B04-Other Standards Fund Capital Balances</t>
  </si>
  <si>
    <t>B05-Other Capital Balances</t>
  </si>
  <si>
    <t>Total Revenue and Capital Balance</t>
  </si>
  <si>
    <t>2021-22 Expenditure</t>
  </si>
  <si>
    <t>2022-23 Projected Expend</t>
  </si>
  <si>
    <t>Net Increase</t>
  </si>
  <si>
    <t>% Increase</t>
  </si>
  <si>
    <t>I03</t>
  </si>
  <si>
    <t>2021-22 Income</t>
  </si>
  <si>
    <t>2022-23 Projected Income</t>
  </si>
  <si>
    <t>% Decrease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</si>
</sst>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-* #,##0_-;\-* #,##0_-;_-* &quot;-&quot;??_-;_-@"/>
    <numFmt numFmtId="165" formatCode="_-* #,##0.00_-;\-* #,##0.00_-;_-* &quot;-&quot;??_-;_-@"/>
    <numFmt numFmtId="166" formatCode="#,##0_ ;[Red]\-#,##0\ "/>
    <numFmt numFmtId="167" formatCode="#,##0;[Red]\(#,##0\)"/>
    <numFmt numFmtId="168" formatCode="_(* #,##0_);_(* \(#,##0\);_(* &quot;-&quot;??_);_(@_)"/>
    <numFmt numFmtId="169" formatCode="_(* #,##0.00_);_(* \(#,##0.00\);_(* &quot;-&quot;??_);_(@_)"/>
    <numFmt numFmtId="170" formatCode="0.0%"/>
    <numFmt numFmtId="171" formatCode="&quot;£&quot;#,##0.00;[Red]&quot;£&quot;#,##0.00"/>
  </numFmts>
  <fonts count="21">
    <font>
      <sz val="11.0"/>
      <color theme="1"/>
      <name val="Calibri"/>
      <scheme val="minor"/>
    </font>
    <font>
      <sz val="12.0"/>
      <color theme="1"/>
      <name val="Calibri"/>
    </font>
    <font>
      <b/>
      <sz val="14.0"/>
      <color rgb="FF222A35"/>
      <name val="Arial"/>
    </font>
    <font>
      <b/>
      <sz val="12.0"/>
      <color rgb="FF222A35"/>
      <name val="Arial"/>
    </font>
    <font>
      <sz val="12.0"/>
      <color rgb="FF333399"/>
      <name val="Arial"/>
    </font>
    <font>
      <b/>
      <sz val="12.0"/>
      <color rgb="FF333399"/>
      <name val="Arial"/>
    </font>
    <font>
      <b/>
      <sz val="12.0"/>
      <color theme="1"/>
      <name val="Calibri"/>
    </font>
    <font>
      <sz val="14.0"/>
      <color theme="1"/>
      <name val="Calibri"/>
    </font>
    <font>
      <b/>
      <sz val="12.0"/>
      <color rgb="FF993366"/>
      <name val="Arial"/>
    </font>
    <font>
      <b/>
      <sz val="12.0"/>
      <color theme="1"/>
      <name val="Arial"/>
    </font>
    <font>
      <b/>
      <sz val="12.0"/>
      <color rgb="FFFFFFFF"/>
      <name val="Arial"/>
    </font>
    <font>
      <sz val="12.0"/>
      <color rgb="FF993366"/>
      <name val="Arial"/>
    </font>
    <font/>
    <font>
      <sz val="12.0"/>
      <color theme="1"/>
      <name val="Arial"/>
    </font>
    <font>
      <b/>
      <sz val="12.0"/>
      <color rgb="FF2F5496"/>
      <name val="Arial"/>
    </font>
    <font>
      <b/>
      <sz val="12.0"/>
      <color rgb="FF2F5496"/>
      <name val="Calibri"/>
    </font>
    <font>
      <sz val="12.0"/>
      <color rgb="FFD8D8D8"/>
      <name val="Arial"/>
    </font>
    <font>
      <b/>
      <sz val="12.0"/>
      <color rgb="FF993366"/>
      <name val="Calibri"/>
    </font>
    <font>
      <b/>
      <sz val="12.0"/>
      <color rgb="FF0000FF"/>
      <name val="Arial"/>
    </font>
    <font>
      <b/>
      <sz val="11.0"/>
      <color theme="1"/>
      <name val="Calibri"/>
    </font>
    <font>
      <sz val="11.0"/>
      <color theme="1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FFF2CB"/>
        <bgColor rgb="FFFFF2CB"/>
      </patternFill>
    </fill>
    <fill>
      <patternFill patternType="solid">
        <fgColor rgb="FFFDF4D1"/>
        <bgColor rgb="FFFDF4D1"/>
      </patternFill>
    </fill>
    <fill>
      <patternFill patternType="solid">
        <fgColor rgb="FFECECEC"/>
        <bgColor rgb="FFECECEC"/>
      </patternFill>
    </fill>
    <fill>
      <patternFill patternType="solid">
        <fgColor rgb="FFBFBFBF"/>
        <bgColor rgb="FFBFBFBF"/>
      </patternFill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0C0C0"/>
      </left>
      <top style="thin">
        <color rgb="FFC0C0C0"/>
      </top>
      <bottom style="thin">
        <color rgb="FFC0C0C0"/>
      </bottom>
    </border>
    <border>
      <top style="thin">
        <color rgb="FFC0C0C0"/>
      </top>
      <bottom style="thin">
        <color rgb="FFC0C0C0"/>
      </bottom>
    </border>
    <border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top/>
      <bottom style="thin">
        <color rgb="FFC0C0C0"/>
      </bottom>
    </border>
    <border>
      <top/>
      <bottom style="thin">
        <color rgb="FFC0C0C0"/>
      </bottom>
    </border>
    <border>
      <right/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/>
    </border>
    <border>
      <left style="thin">
        <color rgb="FFC0C0C0"/>
      </left>
      <right/>
      <top style="thin">
        <color rgb="FFC0C0C0"/>
      </top>
      <bottom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/>
      <top/>
      <bottom/>
    </border>
    <border>
      <left style="thin">
        <color rgb="FFC0C0C0"/>
      </left>
      <right style="thin">
        <color rgb="FFC0C0C0"/>
      </right>
      <top style="thin">
        <color rgb="FFC0C0C0"/>
      </top>
    </border>
  </borders>
  <cellStyleXfs count="1">
    <xf borderId="0" fillId="0" fontId="0" numFmtId="0" applyAlignment="1" applyFont="1"/>
  </cellStyleXfs>
  <cellXfs count="1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2" fillId="2" fontId="3" numFmtId="0" xfId="0" applyAlignment="1" applyBorder="1" applyFont="1">
      <alignment horizontal="center" vertical="center"/>
    </xf>
    <xf borderId="0" fillId="0" fontId="4" numFmtId="0" xfId="0" applyAlignment="1" applyFont="1">
      <alignment vertical="center"/>
    </xf>
    <xf borderId="0" fillId="0" fontId="4" numFmtId="164" xfId="0" applyAlignment="1" applyFont="1" applyNumberFormat="1">
      <alignment vertical="center"/>
    </xf>
    <xf borderId="0" fillId="0" fontId="4" numFmtId="165" xfId="0" applyAlignment="1" applyFont="1" applyNumberFormat="1">
      <alignment horizontal="center" vertical="center"/>
    </xf>
    <xf borderId="0" fillId="0" fontId="4" numFmtId="166" xfId="0" applyAlignment="1" applyFont="1" applyNumberFormat="1">
      <alignment horizontal="center" vertical="center"/>
    </xf>
    <xf borderId="0" fillId="0" fontId="4" numFmtId="166" xfId="0" applyAlignment="1" applyFont="1" applyNumberFormat="1">
      <alignment vertical="center"/>
    </xf>
    <xf borderId="0" fillId="0" fontId="5" numFmtId="166" xfId="0" applyAlignment="1" applyFont="1" applyNumberFormat="1">
      <alignment vertical="center"/>
    </xf>
    <xf borderId="2" fillId="0" fontId="5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1" fillId="3" fontId="3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0" fillId="0" fontId="7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2" fontId="6" numFmtId="9" xfId="0" applyAlignment="1" applyBorder="1" applyFont="1" applyNumberFormat="1">
      <alignment horizontal="center" vertical="center"/>
    </xf>
    <xf borderId="0" fillId="0" fontId="1" numFmtId="3" xfId="0" applyAlignment="1" applyFont="1" applyNumberFormat="1">
      <alignment vertical="center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8" numFmtId="0" xfId="0" applyAlignment="1" applyFont="1">
      <alignment horizontal="right" vertical="center"/>
    </xf>
    <xf borderId="0" fillId="0" fontId="1" numFmtId="1" xfId="0" applyAlignment="1" applyFont="1" applyNumberFormat="1">
      <alignment vertical="center"/>
    </xf>
    <xf borderId="0" fillId="0" fontId="10" numFmtId="165" xfId="0" applyAlignment="1" applyFont="1" applyNumberFormat="1">
      <alignment horizontal="left" vertical="center"/>
    </xf>
    <xf borderId="0" fillId="0" fontId="11" numFmtId="0" xfId="0" applyAlignment="1" applyFont="1">
      <alignment vertical="center"/>
    </xf>
    <xf borderId="3" fillId="4" fontId="6" numFmtId="3" xfId="0" applyAlignment="1" applyBorder="1" applyFill="1" applyFont="1" applyNumberFormat="1">
      <alignment horizontal="center" vertical="center"/>
    </xf>
    <xf borderId="4" fillId="0" fontId="12" numFmtId="0" xfId="0" applyBorder="1" applyFont="1"/>
    <xf borderId="5" fillId="0" fontId="12" numFmtId="0" xfId="0" applyBorder="1" applyFont="1"/>
    <xf borderId="6" fillId="5" fontId="9" numFmtId="167" xfId="0" applyAlignment="1" applyBorder="1" applyFill="1" applyFont="1" applyNumberFormat="1">
      <alignment horizontal="center" shrinkToFit="0" vertical="center" wrapText="1"/>
    </xf>
    <xf borderId="7" fillId="5" fontId="9" numFmtId="167" xfId="0" applyAlignment="1" applyBorder="1" applyFont="1" applyNumberFormat="1">
      <alignment horizontal="center" shrinkToFit="0" vertical="center" wrapText="1"/>
    </xf>
    <xf borderId="8" fillId="0" fontId="12" numFmtId="0" xfId="0" applyBorder="1" applyFont="1"/>
    <xf borderId="9" fillId="0" fontId="12" numFmtId="0" xfId="0" applyBorder="1" applyFont="1"/>
    <xf borderId="10" fillId="6" fontId="9" numFmtId="165" xfId="0" applyAlignment="1" applyBorder="1" applyFill="1" applyFont="1" applyNumberFormat="1">
      <alignment horizontal="center" shrinkToFit="0" vertical="center" wrapText="1"/>
    </xf>
    <xf borderId="11" fillId="5" fontId="9" numFmtId="167" xfId="0" applyAlignment="1" applyBorder="1" applyFont="1" applyNumberFormat="1">
      <alignment horizontal="center" shrinkToFit="0" vertical="center" wrapText="1"/>
    </xf>
    <xf borderId="10" fillId="5" fontId="9" numFmtId="1" xfId="0" applyAlignment="1" applyBorder="1" applyFont="1" applyNumberFormat="1">
      <alignment horizontal="center" shrinkToFit="0" vertical="center" wrapText="1"/>
    </xf>
    <xf borderId="1" fillId="7" fontId="9" numFmtId="1" xfId="0" applyAlignment="1" applyBorder="1" applyFill="1" applyFont="1" applyNumberFormat="1">
      <alignment horizontal="center" shrinkToFit="0" vertical="center" wrapText="1"/>
    </xf>
    <xf borderId="0" fillId="0" fontId="1" numFmtId="3" xfId="0" applyAlignment="1" applyFont="1" applyNumberFormat="1">
      <alignment horizontal="center" shrinkToFit="0" vertical="center" wrapText="1"/>
    </xf>
    <xf borderId="12" fillId="4" fontId="1" numFmtId="3" xfId="0" applyAlignment="1" applyBorder="1" applyFont="1" applyNumberFormat="1">
      <alignment horizontal="center" vertical="center"/>
    </xf>
    <xf borderId="12" fillId="8" fontId="1" numFmtId="3" xfId="0" applyAlignment="1" applyBorder="1" applyFill="1" applyFont="1" applyNumberFormat="1">
      <alignment horizontal="center" vertical="center"/>
    </xf>
    <xf borderId="12" fillId="4" fontId="1" numFmtId="3" xfId="0" applyAlignment="1" applyBorder="1" applyFont="1" applyNumberFormat="1">
      <alignment horizontal="center" shrinkToFit="0" vertical="center" wrapText="1"/>
    </xf>
    <xf borderId="10" fillId="5" fontId="9" numFmtId="167" xfId="0" applyAlignment="1" applyBorder="1" applyFont="1" applyNumberFormat="1">
      <alignment horizontal="center" shrinkToFit="0" vertical="center" wrapText="1"/>
    </xf>
    <xf borderId="0" fillId="0" fontId="1" numFmtId="3" xfId="0" applyAlignment="1" applyFont="1" applyNumberFormat="1">
      <alignment shrinkToFit="0" vertical="center" wrapText="1"/>
    </xf>
    <xf borderId="0" fillId="0" fontId="1" numFmtId="3" xfId="0" applyAlignment="1" applyFont="1" applyNumberForma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1" fillId="5" fontId="6" numFmtId="167" xfId="0" applyAlignment="1" applyBorder="1" applyFont="1" applyNumberFormat="1">
      <alignment horizontal="center" shrinkToFit="0" vertical="center" wrapText="1"/>
    </xf>
    <xf borderId="13" fillId="5" fontId="9" numFmtId="167" xfId="0" applyAlignment="1" applyBorder="1" applyFont="1" applyNumberFormat="1">
      <alignment horizontal="center" shrinkToFit="0" vertical="center" wrapText="1"/>
    </xf>
    <xf borderId="10" fillId="5" fontId="13" numFmtId="167" xfId="0" applyAlignment="1" applyBorder="1" applyFont="1" applyNumberFormat="1">
      <alignment horizontal="right" shrinkToFit="0" vertical="center" wrapText="1"/>
    </xf>
    <xf borderId="10" fillId="5" fontId="9" numFmtId="165" xfId="0" applyAlignment="1" applyBorder="1" applyFont="1" applyNumberFormat="1">
      <alignment horizontal="center" shrinkToFit="0" vertical="center" wrapText="1"/>
    </xf>
    <xf borderId="3" fillId="0" fontId="13" numFmtId="0" xfId="0" applyAlignment="1" applyBorder="1" applyFont="1">
      <alignment vertical="center"/>
    </xf>
    <xf borderId="1" fillId="7" fontId="1" numFmtId="167" xfId="0" applyAlignment="1" applyBorder="1" applyFont="1" applyNumberFormat="1">
      <alignment vertical="center"/>
    </xf>
    <xf borderId="0" fillId="0" fontId="1" numFmtId="167" xfId="0" applyAlignment="1" applyFont="1" applyNumberFormat="1">
      <alignment vertical="center"/>
    </xf>
    <xf borderId="12" fillId="4" fontId="1" numFmtId="167" xfId="0" applyAlignment="1" applyBorder="1" applyFont="1" applyNumberFormat="1">
      <alignment vertical="center"/>
    </xf>
    <xf borderId="12" fillId="8" fontId="1" numFmtId="167" xfId="0" applyAlignment="1" applyBorder="1" applyFont="1" applyNumberFormat="1">
      <alignment vertical="center"/>
    </xf>
    <xf borderId="0" fillId="0" fontId="9" numFmtId="167" xfId="0" applyAlignment="1" applyFont="1" applyNumberFormat="1">
      <alignment vertical="center"/>
    </xf>
    <xf borderId="12" fillId="9" fontId="1" numFmtId="167" xfId="0" applyAlignment="1" applyBorder="1" applyFill="1" applyFont="1" applyNumberFormat="1">
      <alignment vertical="center"/>
    </xf>
    <xf borderId="10" fillId="3" fontId="13" numFmtId="167" xfId="0" applyAlignment="1" applyBorder="1" applyFont="1" applyNumberFormat="1">
      <alignment horizontal="right" shrinkToFit="0" vertical="center" wrapText="1"/>
    </xf>
    <xf borderId="12" fillId="0" fontId="6" numFmtId="9" xfId="0" applyAlignment="1" applyBorder="1" applyFont="1" applyNumberFormat="1">
      <alignment vertical="center"/>
    </xf>
    <xf borderId="12" fillId="9" fontId="1" numFmtId="3" xfId="0" applyAlignment="1" applyBorder="1" applyFont="1" applyNumberFormat="1">
      <alignment vertical="center"/>
    </xf>
    <xf borderId="12" fillId="6" fontId="1" numFmtId="168" xfId="0" applyAlignment="1" applyBorder="1" applyFont="1" applyNumberFormat="1">
      <alignment vertical="center"/>
    </xf>
    <xf borderId="14" fillId="0" fontId="13" numFmtId="167" xfId="0" applyAlignment="1" applyBorder="1" applyFont="1" applyNumberFormat="1">
      <alignment horizontal="right" shrinkToFit="0" vertical="center" wrapText="1"/>
    </xf>
    <xf borderId="12" fillId="3" fontId="1" numFmtId="167" xfId="0" applyAlignment="1" applyBorder="1" applyFont="1" applyNumberFormat="1">
      <alignment vertical="center"/>
    </xf>
    <xf borderId="12" fillId="0" fontId="1" numFmtId="9" xfId="0" applyAlignment="1" applyBorder="1" applyFont="1" applyNumberFormat="1">
      <alignment vertical="center"/>
    </xf>
    <xf borderId="6" fillId="10" fontId="9" numFmtId="0" xfId="0" applyAlignment="1" applyBorder="1" applyFill="1" applyFont="1">
      <alignment vertical="center"/>
    </xf>
    <xf borderId="1" fillId="10" fontId="6" numFmtId="167" xfId="0" applyAlignment="1" applyBorder="1" applyFont="1" applyNumberFormat="1">
      <alignment vertical="center"/>
    </xf>
    <xf borderId="12" fillId="10" fontId="9" numFmtId="167" xfId="0" applyAlignment="1" applyBorder="1" applyFont="1" applyNumberFormat="1">
      <alignment vertical="center"/>
    </xf>
    <xf borderId="12" fillId="10" fontId="9" numFmtId="9" xfId="0" applyAlignment="1" applyBorder="1" applyFont="1" applyNumberFormat="1">
      <alignment vertical="center"/>
    </xf>
    <xf borderId="12" fillId="10" fontId="9" numFmtId="168" xfId="0" applyAlignment="1" applyBorder="1" applyFont="1" applyNumberFormat="1">
      <alignment vertical="center"/>
    </xf>
    <xf borderId="10" fillId="10" fontId="9" numFmtId="167" xfId="0" applyAlignment="1" applyBorder="1" applyFont="1" applyNumberFormat="1">
      <alignment horizontal="right" shrinkToFit="0" vertical="center" wrapText="1"/>
    </xf>
    <xf borderId="0" fillId="0" fontId="1" numFmtId="169" xfId="0" applyAlignment="1" applyFont="1" applyNumberFormat="1">
      <alignment vertical="center"/>
    </xf>
    <xf borderId="1" fillId="7" fontId="9" numFmtId="167" xfId="0" applyAlignment="1" applyBorder="1" applyFont="1" applyNumberFormat="1">
      <alignment horizontal="center" shrinkToFit="0" vertical="center" wrapText="1"/>
    </xf>
    <xf borderId="0" fillId="0" fontId="1" numFmtId="167" xfId="0" applyAlignment="1" applyFont="1" applyNumberFormat="1">
      <alignment horizontal="center" shrinkToFit="0" vertical="center" wrapText="1"/>
    </xf>
    <xf borderId="12" fillId="4" fontId="1" numFmtId="167" xfId="0" applyAlignment="1" applyBorder="1" applyFont="1" applyNumberFormat="1">
      <alignment horizontal="center" vertical="center"/>
    </xf>
    <xf borderId="1" fillId="8" fontId="1" numFmtId="167" xfId="0" applyAlignment="1" applyBorder="1" applyFont="1" applyNumberFormat="1">
      <alignment horizontal="center" vertical="center"/>
    </xf>
    <xf borderId="1" fillId="4" fontId="1" numFmtId="167" xfId="0" applyAlignment="1" applyBorder="1" applyFont="1" applyNumberFormat="1">
      <alignment horizontal="center" vertical="center"/>
    </xf>
    <xf borderId="0" fillId="0" fontId="1" numFmtId="167" xfId="0" applyAlignment="1" applyFont="1" applyNumberFormat="1">
      <alignment shrinkToFit="0" vertical="center" wrapText="1"/>
    </xf>
    <xf borderId="10" fillId="6" fontId="9" numFmtId="168" xfId="0" applyAlignment="1" applyBorder="1" applyFont="1" applyNumberFormat="1">
      <alignment horizontal="center" shrinkToFit="0" vertical="center" wrapText="1"/>
    </xf>
    <xf borderId="14" fillId="0" fontId="14" numFmtId="167" xfId="0" applyAlignment="1" applyBorder="1" applyFont="1" applyNumberFormat="1">
      <alignment horizontal="left" shrinkToFit="0" vertical="center" wrapText="1"/>
    </xf>
    <xf borderId="0" fillId="0" fontId="14" numFmtId="167" xfId="0" applyAlignment="1" applyFont="1" applyNumberFormat="1">
      <alignment horizontal="left" shrinkToFit="0" vertical="center" wrapText="1"/>
    </xf>
    <xf borderId="12" fillId="0" fontId="1" numFmtId="167" xfId="0" applyAlignment="1" applyBorder="1" applyFont="1" applyNumberFormat="1">
      <alignment vertical="center"/>
    </xf>
    <xf borderId="12" fillId="0" fontId="1" numFmtId="3" xfId="0" applyAlignment="1" applyBorder="1" applyFont="1" applyNumberFormat="1">
      <alignment vertical="center"/>
    </xf>
    <xf borderId="12" fillId="0" fontId="1" numFmtId="168" xfId="0" applyAlignment="1" applyBorder="1" applyFont="1" applyNumberFormat="1">
      <alignment vertical="center"/>
    </xf>
    <xf borderId="12" fillId="8" fontId="1" numFmtId="3" xfId="0" applyAlignment="1" applyBorder="1" applyFont="1" applyNumberFormat="1">
      <alignment vertical="center"/>
    </xf>
    <xf borderId="0" fillId="0" fontId="1" numFmtId="165" xfId="0" applyAlignment="1" applyFont="1" applyNumberFormat="1">
      <alignment vertical="center"/>
    </xf>
    <xf borderId="10" fillId="3" fontId="9" numFmtId="167" xfId="0" applyAlignment="1" applyBorder="1" applyFont="1" applyNumberFormat="1">
      <alignment horizontal="right" shrinkToFit="0" vertical="center" wrapText="1"/>
    </xf>
    <xf borderId="6" fillId="11" fontId="9" numFmtId="0" xfId="0" applyAlignment="1" applyBorder="1" applyFill="1" applyFont="1">
      <alignment vertical="center"/>
    </xf>
    <xf borderId="1" fillId="11" fontId="6" numFmtId="167" xfId="0" applyAlignment="1" applyBorder="1" applyFont="1" applyNumberFormat="1">
      <alignment vertical="center"/>
    </xf>
    <xf borderId="0" fillId="0" fontId="6" numFmtId="167" xfId="0" applyAlignment="1" applyFont="1" applyNumberFormat="1">
      <alignment vertical="center"/>
    </xf>
    <xf borderId="12" fillId="11" fontId="6" numFmtId="167" xfId="0" applyAlignment="1" applyBorder="1" applyFont="1" applyNumberFormat="1">
      <alignment vertical="center"/>
    </xf>
    <xf borderId="10" fillId="5" fontId="9" numFmtId="167" xfId="0" applyAlignment="1" applyBorder="1" applyFont="1" applyNumberFormat="1">
      <alignment horizontal="right" shrinkToFit="0" vertical="center" wrapText="1"/>
    </xf>
    <xf borderId="12" fillId="11" fontId="6" numFmtId="9" xfId="0" applyAlignment="1" applyBorder="1" applyFont="1" applyNumberFormat="1">
      <alignment vertical="center"/>
    </xf>
    <xf borderId="12" fillId="11" fontId="6" numFmtId="3" xfId="0" applyAlignment="1" applyBorder="1" applyFont="1" applyNumberFormat="1">
      <alignment vertical="center"/>
    </xf>
    <xf borderId="0" fillId="0" fontId="6" numFmtId="3" xfId="0" applyAlignment="1" applyFont="1" applyNumberFormat="1">
      <alignment vertical="center"/>
    </xf>
    <xf borderId="12" fillId="11" fontId="6" numFmtId="168" xfId="0" applyAlignment="1" applyBorder="1" applyFont="1" applyNumberFormat="1">
      <alignment vertical="center"/>
    </xf>
    <xf borderId="10" fillId="12" fontId="9" numFmtId="167" xfId="0" applyAlignment="1" applyBorder="1" applyFill="1" applyFont="1" applyNumberFormat="1">
      <alignment horizontal="right" shrinkToFit="0" vertical="center" wrapText="1"/>
    </xf>
    <xf borderId="0" fillId="0" fontId="13" numFmtId="167" xfId="0" applyAlignment="1" applyFont="1" applyNumberFormat="1">
      <alignment vertical="center"/>
    </xf>
    <xf borderId="0" fillId="0" fontId="1" numFmtId="170" xfId="0" applyAlignment="1" applyFont="1" applyNumberFormat="1">
      <alignment vertical="center"/>
    </xf>
    <xf borderId="10" fillId="11" fontId="9" numFmtId="167" xfId="0" applyAlignment="1" applyBorder="1" applyFont="1" applyNumberFormat="1">
      <alignment horizontal="right" shrinkToFit="0" vertical="center" wrapText="1"/>
    </xf>
    <xf borderId="0" fillId="0" fontId="6" numFmtId="10" xfId="0" applyAlignment="1" applyFont="1" applyNumberFormat="1">
      <alignment vertical="center"/>
    </xf>
    <xf borderId="12" fillId="10" fontId="6" numFmtId="167" xfId="0" applyAlignment="1" applyBorder="1" applyFont="1" applyNumberFormat="1">
      <alignment vertical="center"/>
    </xf>
    <xf borderId="12" fillId="13" fontId="9" numFmtId="167" xfId="0" applyAlignment="1" applyBorder="1" applyFill="1" applyFont="1" applyNumberFormat="1">
      <alignment vertical="center"/>
    </xf>
    <xf borderId="0" fillId="0" fontId="15" numFmtId="167" xfId="0" applyAlignment="1" applyFont="1" applyNumberFormat="1">
      <alignment horizontal="left" shrinkToFit="0" vertical="center" wrapText="1"/>
    </xf>
    <xf borderId="0" fillId="0" fontId="1" numFmtId="164" xfId="0" applyAlignment="1" applyFont="1" applyNumberFormat="1">
      <alignment vertical="center"/>
    </xf>
    <xf borderId="6" fillId="11" fontId="16" numFmtId="0" xfId="0" applyAlignment="1" applyBorder="1" applyFont="1">
      <alignment vertical="center"/>
    </xf>
    <xf borderId="12" fillId="11" fontId="1" numFmtId="167" xfId="0" applyAlignment="1" applyBorder="1" applyFont="1" applyNumberFormat="1">
      <alignment vertical="center"/>
    </xf>
    <xf borderId="12" fillId="11" fontId="1" numFmtId="9" xfId="0" applyAlignment="1" applyBorder="1" applyFont="1" applyNumberFormat="1">
      <alignment vertical="center"/>
    </xf>
    <xf borderId="12" fillId="11" fontId="1" numFmtId="3" xfId="0" applyAlignment="1" applyBorder="1" applyFont="1" applyNumberFormat="1">
      <alignment vertical="center"/>
    </xf>
    <xf borderId="0" fillId="0" fontId="1" numFmtId="169" xfId="0" applyAlignment="1" applyFont="1" applyNumberFormat="1">
      <alignment horizontal="right" vertical="center"/>
    </xf>
    <xf borderId="12" fillId="4" fontId="6" numFmtId="167" xfId="0" applyAlignment="1" applyBorder="1" applyFont="1" applyNumberFormat="1">
      <alignment vertical="center"/>
    </xf>
    <xf borderId="12" fillId="11" fontId="1" numFmtId="168" xfId="0" applyAlignment="1" applyBorder="1" applyFont="1" applyNumberFormat="1">
      <alignment vertical="center"/>
    </xf>
    <xf borderId="12" fillId="13" fontId="6" numFmtId="167" xfId="0" applyAlignment="1" applyBorder="1" applyFont="1" applyNumberFormat="1">
      <alignment vertical="center"/>
    </xf>
    <xf borderId="0" fillId="0" fontId="6" numFmtId="170" xfId="0" applyAlignment="1" applyFont="1" applyNumberFormat="1">
      <alignment vertical="center"/>
    </xf>
    <xf borderId="12" fillId="10" fontId="9" numFmtId="3" xfId="0" applyAlignment="1" applyBorder="1" applyFont="1" applyNumberFormat="1">
      <alignment vertical="center"/>
    </xf>
    <xf borderId="0" fillId="0" fontId="17" numFmtId="167" xfId="0" applyAlignment="1" applyFont="1" applyNumberFormat="1">
      <alignment vertical="center"/>
    </xf>
    <xf borderId="0" fillId="0" fontId="8" numFmtId="167" xfId="0" applyAlignment="1" applyFont="1" applyNumberFormat="1">
      <alignment horizontal="right" vertical="center"/>
    </xf>
    <xf borderId="0" fillId="0" fontId="10" numFmtId="168" xfId="0" applyAlignment="1" applyFont="1" applyNumberFormat="1">
      <alignment horizontal="left" vertical="center"/>
    </xf>
    <xf borderId="1" fillId="10" fontId="9" numFmtId="0" xfId="0" applyAlignment="1" applyBorder="1" applyFont="1">
      <alignment vertical="center"/>
    </xf>
    <xf borderId="1" fillId="10" fontId="9" numFmtId="167" xfId="0" applyAlignment="1" applyBorder="1" applyFont="1" applyNumberFormat="1">
      <alignment horizontal="right" vertical="center"/>
    </xf>
    <xf borderId="1" fillId="10" fontId="9" numFmtId="168" xfId="0" applyAlignment="1" applyBorder="1" applyFont="1" applyNumberFormat="1">
      <alignment horizontal="right" vertical="center"/>
    </xf>
    <xf borderId="10" fillId="5" fontId="9" numFmtId="168" xfId="0" applyAlignment="1" applyBorder="1" applyFont="1" applyNumberFormat="1">
      <alignment horizontal="center" shrinkToFit="0" vertical="center" wrapText="1"/>
    </xf>
    <xf borderId="14" fillId="0" fontId="1" numFmtId="167" xfId="0" applyAlignment="1" applyBorder="1" applyFont="1" applyNumberFormat="1">
      <alignment vertical="center"/>
    </xf>
    <xf borderId="14" fillId="0" fontId="1" numFmtId="3" xfId="0" applyAlignment="1" applyBorder="1" applyFont="1" applyNumberFormat="1">
      <alignment vertical="center"/>
    </xf>
    <xf borderId="14" fillId="0" fontId="1" numFmtId="168" xfId="0" applyAlignment="1" applyBorder="1" applyFont="1" applyNumberFormat="1">
      <alignment vertical="center"/>
    </xf>
    <xf borderId="0" fillId="0" fontId="1" numFmtId="168" xfId="0" applyAlignment="1" applyFont="1" applyNumberFormat="1">
      <alignment vertical="center"/>
    </xf>
    <xf borderId="1" fillId="9" fontId="9" numFmtId="0" xfId="0" applyAlignment="1" applyBorder="1" applyFont="1">
      <alignment vertical="center"/>
    </xf>
    <xf borderId="1" fillId="9" fontId="6" numFmtId="167" xfId="0" applyAlignment="1" applyBorder="1" applyFont="1" applyNumberFormat="1">
      <alignment vertical="center"/>
    </xf>
    <xf borderId="1" fillId="9" fontId="9" numFmtId="168" xfId="0" applyAlignment="1" applyBorder="1" applyFont="1" applyNumberFormat="1">
      <alignment horizontal="right" vertical="center"/>
    </xf>
    <xf borderId="1" fillId="9" fontId="9" numFmtId="3" xfId="0" applyAlignment="1" applyBorder="1" applyFont="1" applyNumberFormat="1">
      <alignment horizontal="left" vertical="center"/>
    </xf>
    <xf borderId="1" fillId="9" fontId="6" numFmtId="0" xfId="0" applyAlignment="1" applyBorder="1" applyFont="1">
      <alignment vertical="center"/>
    </xf>
    <xf borderId="1" fillId="9" fontId="6" numFmtId="3" xfId="0" applyAlignment="1" applyBorder="1" applyFont="1" applyNumberFormat="1">
      <alignment vertical="center"/>
    </xf>
    <xf borderId="0" fillId="0" fontId="9" numFmtId="165" xfId="0" applyAlignment="1" applyFont="1" applyNumberFormat="1">
      <alignment vertical="center"/>
    </xf>
    <xf borderId="14" fillId="0" fontId="15" numFmtId="167" xfId="0" applyAlignment="1" applyBorder="1" applyFont="1" applyNumberFormat="1">
      <alignment horizontal="left" shrinkToFit="0" vertical="center" wrapText="1"/>
    </xf>
    <xf borderId="14" fillId="0" fontId="14" numFmtId="168" xfId="0" applyAlignment="1" applyBorder="1" applyFont="1" applyNumberFormat="1">
      <alignment horizontal="left" shrinkToFit="0" vertical="center" wrapText="1"/>
    </xf>
    <xf borderId="0" fillId="0" fontId="1" numFmtId="171" xfId="0" applyAlignment="1" applyFont="1" applyNumberFormat="1">
      <alignment vertical="center"/>
    </xf>
    <xf borderId="12" fillId="0" fontId="18" numFmtId="3" xfId="0" applyAlignment="1" applyBorder="1" applyFont="1" applyNumberFormat="1">
      <alignment vertical="center"/>
    </xf>
    <xf borderId="1" fillId="9" fontId="9" numFmtId="168" xfId="0" applyAlignment="1" applyBorder="1" applyFont="1" applyNumberFormat="1">
      <alignment vertical="center"/>
    </xf>
    <xf borderId="0" fillId="0" fontId="19" numFmtId="0" xfId="0" applyAlignment="1" applyFont="1">
      <alignment horizontal="center"/>
    </xf>
    <xf borderId="0" fillId="0" fontId="20" numFmtId="165" xfId="0" applyFont="1" applyNumberFormat="1"/>
    <xf borderId="0" fillId="0" fontId="20" numFmtId="0" xfId="0" applyFont="1"/>
    <xf borderId="2" fillId="0" fontId="19" numFmtId="165" xfId="0" applyBorder="1" applyFont="1" applyNumberFormat="1"/>
  </cellXfs>
  <cellStyles count="1">
    <cellStyle xfId="0" name="Normal" builtinId="0"/>
  </cellStyles>
  <dxfs count="2">
    <dxf>
      <font>
        <b/>
      </font>
      <fill>
        <patternFill patternType="none"/>
      </fill>
      <border/>
    </dxf>
    <dxf>
      <font>
        <b/>
      </font>
      <numFmt numFmtId="0" formatCode="#,##0;[Red]\(#,##0\)"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9125" cy="209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0.0" topLeftCell="U1" activePane="topRight" state="frozen"/>
      <selection activeCell="V2" sqref="V2" pane="topRight"/>
    </sheetView>
  </sheetViews>
  <sheetFormatPr customHeight="1" defaultColWidth="14.43" defaultRowHeight="15.0"/>
  <cols>
    <col customWidth="1" min="1" max="1" width="62.86"/>
    <col customWidth="1" hidden="1" min="2" max="2" width="15.0"/>
    <col customWidth="1" hidden="1" min="3" max="4" width="3.57"/>
    <col customWidth="1" hidden="1" min="5" max="5" width="11.43"/>
    <col customWidth="1" min="6" max="6" width="14.0"/>
    <col customWidth="1" hidden="1" min="7" max="7" width="8.71"/>
    <col customWidth="1" hidden="1" min="8" max="9" width="9.71"/>
    <col customWidth="1" min="10" max="10" width="14.57"/>
    <col customWidth="1" min="11" max="11" width="13.0"/>
    <col customWidth="1" min="12" max="12" width="13.43"/>
    <col customWidth="1" min="13" max="13" width="11.0"/>
    <col customWidth="1" hidden="1" min="14" max="14" width="8.71"/>
    <col customWidth="1" min="15" max="15" width="17.29"/>
    <col customWidth="1" hidden="1" min="16" max="16" width="8.71"/>
    <col customWidth="1" min="17" max="17" width="16.14"/>
    <col customWidth="1" hidden="1" min="18" max="19" width="8.71"/>
    <col customWidth="1" min="20" max="20" width="14.57"/>
    <col customWidth="1" min="21" max="21" width="27.29"/>
    <col customWidth="1" min="22" max="26" width="8.71"/>
  </cols>
  <sheetData>
    <row r="1">
      <c r="A1" s="1">
        <v>1.0</v>
      </c>
      <c r="B1" s="1">
        <v>2.0</v>
      </c>
      <c r="C1" s="1">
        <v>3.0</v>
      </c>
      <c r="D1" s="1">
        <v>4.0</v>
      </c>
      <c r="E1" s="1">
        <v>5.0</v>
      </c>
      <c r="F1" s="1">
        <v>6.0</v>
      </c>
      <c r="G1" s="1">
        <v>7.0</v>
      </c>
      <c r="H1" s="1">
        <v>8.0</v>
      </c>
      <c r="I1" s="1">
        <v>9.0</v>
      </c>
      <c r="J1" s="1">
        <v>10.0</v>
      </c>
      <c r="K1" s="1">
        <v>11.0</v>
      </c>
      <c r="L1" s="1">
        <v>12.0</v>
      </c>
      <c r="M1" s="1">
        <v>13.0</v>
      </c>
      <c r="N1" s="1">
        <v>14.0</v>
      </c>
      <c r="O1" s="1">
        <v>15.0</v>
      </c>
      <c r="P1" s="1">
        <v>16.0</v>
      </c>
      <c r="Q1" s="1">
        <v>17.0</v>
      </c>
      <c r="R1" s="1">
        <v>18.0</v>
      </c>
      <c r="S1" s="1">
        <v>19.0</v>
      </c>
      <c r="T1" s="1">
        <v>20.0</v>
      </c>
      <c r="U1" s="1">
        <v>21.0</v>
      </c>
    </row>
    <row r="2">
      <c r="A2" s="2"/>
      <c r="B2" s="3" t="s">
        <v>0</v>
      </c>
      <c r="C2" s="4"/>
      <c r="D2" s="5"/>
      <c r="E2" s="5"/>
      <c r="F2" s="6" t="s">
        <v>1</v>
      </c>
      <c r="G2" s="7"/>
      <c r="H2" s="7"/>
      <c r="I2" s="7"/>
      <c r="J2" s="8"/>
      <c r="K2" s="7"/>
      <c r="L2" s="7"/>
      <c r="M2" s="5"/>
      <c r="N2" s="7"/>
      <c r="O2" s="7"/>
      <c r="P2" s="7"/>
      <c r="Q2" s="9"/>
      <c r="R2" s="10"/>
      <c r="S2" s="10"/>
      <c r="T2" s="5"/>
      <c r="U2" s="5"/>
    </row>
    <row r="3">
      <c r="A3" s="11"/>
      <c r="B3" s="12" t="s">
        <v>2</v>
      </c>
      <c r="C3" s="4"/>
      <c r="D3" s="5"/>
      <c r="E3" s="5"/>
      <c r="F3" s="13">
        <v>2388.0</v>
      </c>
      <c r="G3" s="7"/>
      <c r="H3" s="7"/>
      <c r="I3" s="7"/>
      <c r="J3" s="7"/>
      <c r="K3" s="7"/>
      <c r="L3" s="14"/>
      <c r="M3" s="5"/>
      <c r="N3" s="7"/>
      <c r="O3" s="7"/>
      <c r="P3" s="7"/>
      <c r="Q3" s="9"/>
      <c r="R3" s="10"/>
      <c r="S3" s="10"/>
      <c r="T3" s="5"/>
      <c r="U3" s="15"/>
    </row>
    <row r="4">
      <c r="A4" s="16" t="s">
        <v>3</v>
      </c>
      <c r="B4" s="17" t="s">
        <v>4</v>
      </c>
      <c r="C4" s="18"/>
      <c r="E4" s="19"/>
      <c r="F4" s="20">
        <v>2.0</v>
      </c>
      <c r="G4" s="21"/>
      <c r="H4" s="22"/>
      <c r="I4" s="21"/>
      <c r="J4" s="17" t="s">
        <v>5</v>
      </c>
      <c r="K4" s="13" t="s">
        <v>6</v>
      </c>
      <c r="L4" s="5"/>
      <c r="M4" s="5"/>
      <c r="N4" s="23"/>
      <c r="O4" s="5"/>
      <c r="P4" s="23"/>
      <c r="Q4" s="24">
        <f>F4/12</f>
        <v>0.1666666667</v>
      </c>
      <c r="R4" s="25"/>
      <c r="S4" s="5"/>
      <c r="T4" s="5"/>
      <c r="U4" s="5"/>
    </row>
    <row r="5">
      <c r="A5" s="26"/>
      <c r="B5" s="27"/>
      <c r="C5" s="28"/>
      <c r="D5" s="5"/>
      <c r="E5" s="5"/>
      <c r="F5" s="5"/>
      <c r="G5" s="28"/>
      <c r="H5" s="29"/>
      <c r="I5" s="28"/>
      <c r="J5" s="30"/>
      <c r="K5" s="5"/>
      <c r="L5" s="5"/>
      <c r="M5" s="5"/>
      <c r="N5" s="28"/>
      <c r="O5" s="29"/>
      <c r="P5" s="28"/>
      <c r="Q5" s="31">
        <v>281613.0</v>
      </c>
      <c r="R5" s="25"/>
      <c r="S5" s="5"/>
      <c r="T5" s="5"/>
      <c r="U5" s="5"/>
    </row>
    <row r="6">
      <c r="A6" s="32"/>
      <c r="B6" s="32"/>
      <c r="C6" s="28"/>
      <c r="D6" s="33" t="s">
        <v>7</v>
      </c>
      <c r="E6" s="34"/>
      <c r="F6" s="35"/>
      <c r="G6" s="28"/>
      <c r="H6" s="36" t="s">
        <v>8</v>
      </c>
      <c r="I6" s="28"/>
      <c r="J6" s="37" t="s">
        <v>9</v>
      </c>
      <c r="K6" s="38"/>
      <c r="L6" s="38"/>
      <c r="M6" s="39"/>
      <c r="N6" s="28"/>
      <c r="O6" s="36" t="s">
        <v>8</v>
      </c>
      <c r="P6" s="28"/>
      <c r="Q6" s="40" t="s">
        <v>10</v>
      </c>
      <c r="R6" s="28"/>
      <c r="S6" s="5"/>
      <c r="T6" s="41" t="s">
        <v>11</v>
      </c>
      <c r="U6" s="5"/>
    </row>
    <row r="7">
      <c r="A7" s="42" t="s">
        <v>12</v>
      </c>
      <c r="B7" s="43" t="s">
        <v>13</v>
      </c>
      <c r="C7" s="44"/>
      <c r="D7" s="45" t="s">
        <v>14</v>
      </c>
      <c r="E7" s="46" t="s">
        <v>15</v>
      </c>
      <c r="F7" s="47" t="s">
        <v>16</v>
      </c>
      <c r="G7" s="28"/>
      <c r="H7" s="48" t="s">
        <v>17</v>
      </c>
      <c r="I7" s="49"/>
      <c r="J7" s="42" t="s">
        <v>18</v>
      </c>
      <c r="K7" s="42" t="s">
        <v>19</v>
      </c>
      <c r="L7" s="42" t="s">
        <v>20</v>
      </c>
      <c r="M7" s="48" t="s">
        <v>21</v>
      </c>
      <c r="N7" s="28"/>
      <c r="O7" s="48" t="s">
        <v>22</v>
      </c>
      <c r="P7" s="49"/>
      <c r="Q7" s="40" t="s">
        <v>23</v>
      </c>
      <c r="R7" s="50"/>
      <c r="S7" s="51"/>
      <c r="T7" s="48" t="s">
        <v>24</v>
      </c>
      <c r="U7" s="52" t="s">
        <v>25</v>
      </c>
    </row>
    <row r="8">
      <c r="A8" s="42" t="s">
        <v>26</v>
      </c>
      <c r="B8" s="53"/>
      <c r="C8" s="44"/>
      <c r="D8" s="54"/>
      <c r="E8" s="55"/>
      <c r="F8" s="48"/>
      <c r="G8" s="28"/>
      <c r="H8" s="48"/>
      <c r="I8" s="25"/>
      <c r="J8" s="42"/>
      <c r="K8" s="55"/>
      <c r="L8" s="55"/>
      <c r="M8" s="48"/>
      <c r="N8" s="28"/>
      <c r="O8" s="48"/>
      <c r="P8" s="25"/>
      <c r="Q8" s="56"/>
      <c r="R8" s="50"/>
      <c r="S8" s="51"/>
      <c r="T8" s="48"/>
      <c r="U8" s="5"/>
    </row>
    <row r="9">
      <c r="A9" s="57" t="s">
        <v>27</v>
      </c>
      <c r="B9" s="58"/>
      <c r="C9" s="59"/>
      <c r="D9" s="60"/>
      <c r="E9" s="61">
        <v>0.0</v>
      </c>
      <c r="F9" s="60"/>
      <c r="G9" s="62"/>
      <c r="H9" s="63"/>
      <c r="I9" s="59"/>
      <c r="J9" s="64">
        <f t="shared" ref="J9:K9" si="1">$B$99</f>
        <v>0</v>
      </c>
      <c r="K9" s="64">
        <f t="shared" si="1"/>
        <v>0</v>
      </c>
      <c r="L9" s="64"/>
      <c r="M9" s="65"/>
      <c r="N9" s="28"/>
      <c r="O9" s="66"/>
      <c r="P9" s="25"/>
      <c r="Q9" s="67">
        <f>$B$99</f>
        <v>0</v>
      </c>
      <c r="R9" s="25"/>
      <c r="S9" s="5"/>
      <c r="T9" s="68">
        <v>0.0</v>
      </c>
      <c r="U9" s="5"/>
    </row>
    <row r="10">
      <c r="A10" s="57" t="s">
        <v>28</v>
      </c>
      <c r="B10" s="58"/>
      <c r="C10" s="59"/>
      <c r="D10" s="60">
        <v>0.0</v>
      </c>
      <c r="E10" s="61">
        <v>0.0</v>
      </c>
      <c r="F10" s="60"/>
      <c r="G10" s="62"/>
      <c r="H10" s="63"/>
      <c r="I10" s="59"/>
      <c r="J10" s="64">
        <f t="shared" ref="J10:K10" si="2">$B$100</f>
        <v>0</v>
      </c>
      <c r="K10" s="64">
        <f t="shared" si="2"/>
        <v>0</v>
      </c>
      <c r="L10" s="64"/>
      <c r="M10" s="65"/>
      <c r="N10" s="28"/>
      <c r="O10" s="66"/>
      <c r="P10" s="25"/>
      <c r="Q10" s="67">
        <f>$B$100</f>
        <v>0</v>
      </c>
      <c r="R10" s="25"/>
      <c r="S10" s="5"/>
      <c r="T10" s="68">
        <v>0.0</v>
      </c>
      <c r="U10" s="25"/>
    </row>
    <row r="11">
      <c r="A11" s="57" t="s">
        <v>29</v>
      </c>
      <c r="B11" s="58"/>
      <c r="C11" s="59"/>
      <c r="D11" s="60">
        <v>0.0</v>
      </c>
      <c r="E11" s="61">
        <v>0.0</v>
      </c>
      <c r="F11" s="60"/>
      <c r="G11" s="62"/>
      <c r="H11" s="63"/>
      <c r="I11" s="59"/>
      <c r="J11" s="64">
        <f t="shared" ref="J11:K11" si="3">SUM($B$121)</f>
        <v>0</v>
      </c>
      <c r="K11" s="64">
        <f t="shared" si="3"/>
        <v>0</v>
      </c>
      <c r="L11" s="69"/>
      <c r="M11" s="70"/>
      <c r="N11" s="28"/>
      <c r="O11" s="66"/>
      <c r="P11" s="25"/>
      <c r="Q11" s="67">
        <f>SUM($B$121)</f>
        <v>0</v>
      </c>
      <c r="R11" s="25"/>
      <c r="S11" s="5"/>
      <c r="T11" s="68">
        <f t="shared" ref="T11:T13" si="4">Q11-F11</f>
        <v>0</v>
      </c>
      <c r="U11" s="5"/>
    </row>
    <row r="12" hidden="1">
      <c r="A12" s="57" t="s">
        <v>30</v>
      </c>
      <c r="B12" s="58"/>
      <c r="C12" s="59"/>
      <c r="D12" s="60">
        <v>0.0</v>
      </c>
      <c r="E12" s="61">
        <v>0.0</v>
      </c>
      <c r="F12" s="60"/>
      <c r="G12" s="62"/>
      <c r="H12" s="63"/>
      <c r="I12" s="59"/>
      <c r="J12" s="64">
        <v>0.0</v>
      </c>
      <c r="K12" s="64">
        <v>0.0</v>
      </c>
      <c r="L12" s="69"/>
      <c r="M12" s="70"/>
      <c r="N12" s="28"/>
      <c r="O12" s="66"/>
      <c r="P12" s="25"/>
      <c r="Q12" s="67">
        <v>0.0</v>
      </c>
      <c r="R12" s="25"/>
      <c r="S12" s="5"/>
      <c r="T12" s="68">
        <f t="shared" si="4"/>
        <v>0</v>
      </c>
      <c r="U12" s="5"/>
    </row>
    <row r="13">
      <c r="A13" s="57" t="s">
        <v>31</v>
      </c>
      <c r="B13" s="58"/>
      <c r="C13" s="59"/>
      <c r="D13" s="60">
        <v>0.0</v>
      </c>
      <c r="E13" s="61">
        <v>0.0</v>
      </c>
      <c r="F13" s="60"/>
      <c r="G13" s="62"/>
      <c r="H13" s="63"/>
      <c r="I13" s="59"/>
      <c r="J13" s="64">
        <f t="shared" ref="J13:K13" si="5">SUM($B$123)</f>
        <v>0</v>
      </c>
      <c r="K13" s="64">
        <f t="shared" si="5"/>
        <v>0</v>
      </c>
      <c r="L13" s="69"/>
      <c r="M13" s="70"/>
      <c r="N13" s="28"/>
      <c r="O13" s="66"/>
      <c r="P13" s="25"/>
      <c r="Q13" s="67">
        <f>SUM($B$123)</f>
        <v>0</v>
      </c>
      <c r="R13" s="25"/>
      <c r="S13" s="5"/>
      <c r="T13" s="68">
        <f t="shared" si="4"/>
        <v>0</v>
      </c>
      <c r="U13" s="5"/>
    </row>
    <row r="14">
      <c r="A14" s="57" t="s">
        <v>32</v>
      </c>
      <c r="B14" s="58"/>
      <c r="C14" s="59"/>
      <c r="D14" s="60">
        <v>0.0</v>
      </c>
      <c r="E14" s="61">
        <v>0.0</v>
      </c>
      <c r="F14" s="60"/>
      <c r="G14" s="62"/>
      <c r="H14" s="63"/>
      <c r="I14" s="59"/>
      <c r="J14" s="64">
        <f t="shared" ref="J14:K14" si="6">SUM($B$101)</f>
        <v>0</v>
      </c>
      <c r="K14" s="64">
        <f t="shared" si="6"/>
        <v>0</v>
      </c>
      <c r="L14" s="64"/>
      <c r="M14" s="65"/>
      <c r="N14" s="28"/>
      <c r="O14" s="66"/>
      <c r="P14" s="25"/>
      <c r="Q14" s="67">
        <f>SUM($B$101)</f>
        <v>0</v>
      </c>
      <c r="R14" s="25"/>
      <c r="S14" s="5"/>
      <c r="T14" s="68">
        <v>0.0</v>
      </c>
      <c r="U14" s="59"/>
    </row>
    <row r="15">
      <c r="A15" s="71" t="s">
        <v>33</v>
      </c>
      <c r="B15" s="72">
        <f>SUM(B9:B14)</f>
        <v>0</v>
      </c>
      <c r="C15" s="59"/>
      <c r="D15" s="73">
        <f t="shared" ref="D15:F15" si="7">SUM(D9:D14)</f>
        <v>0</v>
      </c>
      <c r="E15" s="73">
        <f t="shared" si="7"/>
        <v>0</v>
      </c>
      <c r="F15" s="73">
        <f t="shared" si="7"/>
        <v>0</v>
      </c>
      <c r="G15" s="62"/>
      <c r="H15" s="73">
        <f>SUM(H9:H14)</f>
        <v>0</v>
      </c>
      <c r="I15" s="59"/>
      <c r="J15" s="73">
        <f t="shared" ref="J15:L15" si="8">SUM(J9:J14)</f>
        <v>0</v>
      </c>
      <c r="K15" s="73">
        <f t="shared" si="8"/>
        <v>0</v>
      </c>
      <c r="L15" s="73">
        <f t="shared" si="8"/>
        <v>0</v>
      </c>
      <c r="M15" s="74"/>
      <c r="N15" s="28"/>
      <c r="O15" s="73">
        <f>SUM(O9:O14)</f>
        <v>0</v>
      </c>
      <c r="P15" s="25"/>
      <c r="Q15" s="75">
        <f>SUM(Q9:Q14)</f>
        <v>0</v>
      </c>
      <c r="R15" s="25"/>
      <c r="S15" s="5"/>
      <c r="T15" s="76">
        <f>SUM(T9:T14)</f>
        <v>0</v>
      </c>
      <c r="U15" s="77"/>
    </row>
    <row r="16">
      <c r="A16" s="42"/>
      <c r="B16" s="78"/>
      <c r="C16" s="79"/>
      <c r="D16" s="80"/>
      <c r="E16" s="81"/>
      <c r="F16" s="82"/>
      <c r="G16" s="62"/>
      <c r="H16" s="48"/>
      <c r="I16" s="83"/>
      <c r="J16" s="48"/>
      <c r="K16" s="48"/>
      <c r="L16" s="48"/>
      <c r="M16" s="48"/>
      <c r="N16" s="28"/>
      <c r="O16" s="48"/>
      <c r="P16" s="49"/>
      <c r="Q16" s="84"/>
      <c r="R16" s="50"/>
      <c r="S16" s="51"/>
      <c r="T16" s="48"/>
      <c r="U16" s="5"/>
    </row>
    <row r="17">
      <c r="A17" s="85" t="s">
        <v>34</v>
      </c>
      <c r="B17" s="86"/>
      <c r="C17" s="59"/>
      <c r="D17" s="87"/>
      <c r="E17" s="59"/>
      <c r="F17" s="59"/>
      <c r="G17" s="62"/>
      <c r="H17" s="87"/>
      <c r="I17" s="59"/>
      <c r="J17" s="87"/>
      <c r="K17" s="87"/>
      <c r="L17" s="87"/>
      <c r="M17" s="70"/>
      <c r="N17" s="28"/>
      <c r="O17" s="88"/>
      <c r="P17" s="25"/>
      <c r="Q17" s="89"/>
      <c r="R17" s="25"/>
      <c r="S17" s="5"/>
      <c r="T17" s="88"/>
      <c r="U17" s="5"/>
    </row>
    <row r="18">
      <c r="A18" s="57" t="s">
        <v>35</v>
      </c>
      <c r="B18" s="58"/>
      <c r="C18" s="59"/>
      <c r="D18" s="60">
        <v>0.0</v>
      </c>
      <c r="E18" s="61"/>
      <c r="F18" s="60">
        <v>1887893.0</v>
      </c>
      <c r="G18" s="62"/>
      <c r="H18" s="61"/>
      <c r="I18" s="59"/>
      <c r="J18" s="64">
        <v>235538.0</v>
      </c>
      <c r="K18" s="64">
        <f t="shared" ref="K18:K20" si="9">IF($F$4&gt;=12,F18,F18/12*$F$4)</f>
        <v>314648.8333</v>
      </c>
      <c r="L18" s="64">
        <f t="shared" ref="L18:L20" si="10">J18-K18</f>
        <v>-79110.83333</v>
      </c>
      <c r="M18" s="65">
        <f t="shared" ref="M18:M21" si="11">IF(F18=0,0,J18/F18)</f>
        <v>0.1247623674</v>
      </c>
      <c r="N18" s="28"/>
      <c r="O18" s="90"/>
      <c r="P18" s="25"/>
      <c r="Q18" s="67">
        <f t="shared" ref="Q18:Q20" si="12">IF(OR($F$4 = 12,$F$4 = 13),J18,(J18/$F$4)*12+O18)</f>
        <v>1413228</v>
      </c>
      <c r="R18" s="25"/>
      <c r="S18" s="5"/>
      <c r="T18" s="68">
        <f t="shared" ref="T18:T20" si="13">Q18-F18</f>
        <v>-474665</v>
      </c>
      <c r="U18" s="91"/>
    </row>
    <row r="19">
      <c r="A19" s="57" t="s">
        <v>36</v>
      </c>
      <c r="B19" s="58"/>
      <c r="C19" s="59"/>
      <c r="D19" s="60">
        <v>0.0</v>
      </c>
      <c r="E19" s="61"/>
      <c r="F19" s="60">
        <v>0.0</v>
      </c>
      <c r="G19" s="62"/>
      <c r="H19" s="61"/>
      <c r="I19" s="59"/>
      <c r="J19" s="64"/>
      <c r="K19" s="64">
        <f t="shared" si="9"/>
        <v>0</v>
      </c>
      <c r="L19" s="64">
        <f t="shared" si="10"/>
        <v>0</v>
      </c>
      <c r="M19" s="65">
        <f t="shared" si="11"/>
        <v>0</v>
      </c>
      <c r="N19" s="28"/>
      <c r="O19" s="90"/>
      <c r="P19" s="25"/>
      <c r="Q19" s="67">
        <f t="shared" si="12"/>
        <v>0</v>
      </c>
      <c r="R19" s="25"/>
      <c r="S19" s="5"/>
      <c r="T19" s="68">
        <f t="shared" si="13"/>
        <v>0</v>
      </c>
      <c r="U19" s="91"/>
    </row>
    <row r="20">
      <c r="A20" s="57" t="s">
        <v>37</v>
      </c>
      <c r="B20" s="58"/>
      <c r="C20" s="59"/>
      <c r="D20" s="60">
        <v>0.0</v>
      </c>
      <c r="E20" s="61"/>
      <c r="F20" s="60">
        <v>22491.0</v>
      </c>
      <c r="G20" s="62"/>
      <c r="H20" s="61"/>
      <c r="I20" s="59"/>
      <c r="J20" s="64">
        <v>12002.0</v>
      </c>
      <c r="K20" s="64">
        <f t="shared" si="9"/>
        <v>3748.5</v>
      </c>
      <c r="L20" s="92">
        <f t="shared" si="10"/>
        <v>8253.5</v>
      </c>
      <c r="M20" s="65">
        <f t="shared" si="11"/>
        <v>0.5336356765</v>
      </c>
      <c r="N20" s="28"/>
      <c r="O20" s="90"/>
      <c r="P20" s="25"/>
      <c r="Q20" s="67">
        <f t="shared" si="12"/>
        <v>72012</v>
      </c>
      <c r="R20" s="25"/>
      <c r="S20" s="5"/>
      <c r="T20" s="68">
        <f t="shared" si="13"/>
        <v>49521</v>
      </c>
      <c r="U20" s="91"/>
    </row>
    <row r="21" ht="15.75" customHeight="1">
      <c r="A21" s="93" t="s">
        <v>38</v>
      </c>
      <c r="B21" s="94">
        <f>SUM(B18:B20)</f>
        <v>0</v>
      </c>
      <c r="C21" s="95"/>
      <c r="D21" s="96">
        <f t="shared" ref="D21:F21" si="14">SUM(D18:D20)</f>
        <v>0</v>
      </c>
      <c r="E21" s="96">
        <f t="shared" si="14"/>
        <v>0</v>
      </c>
      <c r="F21" s="96">
        <f t="shared" si="14"/>
        <v>1910384</v>
      </c>
      <c r="G21" s="62"/>
      <c r="H21" s="96">
        <f>SUM(H18:H20)</f>
        <v>0</v>
      </c>
      <c r="I21" s="95"/>
      <c r="J21" s="96">
        <f t="shared" ref="J21:L21" si="15">SUM(J18:J20)</f>
        <v>247540</v>
      </c>
      <c r="K21" s="96">
        <f t="shared" si="15"/>
        <v>318397.3333</v>
      </c>
      <c r="L21" s="97">
        <f t="shared" si="15"/>
        <v>-70857.33333</v>
      </c>
      <c r="M21" s="98">
        <f t="shared" si="11"/>
        <v>0.1295760434</v>
      </c>
      <c r="N21" s="28"/>
      <c r="O21" s="99">
        <f>SUM(O18:O20)</f>
        <v>0</v>
      </c>
      <c r="P21" s="100"/>
      <c r="Q21" s="101">
        <f>SUM(Q18:Q20)</f>
        <v>1485240</v>
      </c>
      <c r="R21" s="100"/>
      <c r="S21" s="15"/>
      <c r="T21" s="102">
        <f>SUM(T18:T20)</f>
        <v>-425144</v>
      </c>
      <c r="U21" s="91"/>
    </row>
    <row r="22" ht="15.75" customHeight="1">
      <c r="A22" s="57"/>
      <c r="B22" s="59"/>
      <c r="C22" s="59"/>
      <c r="D22" s="87">
        <v>0.0</v>
      </c>
      <c r="E22" s="59"/>
      <c r="F22" s="59"/>
      <c r="G22" s="62"/>
      <c r="H22" s="87"/>
      <c r="I22" s="59"/>
      <c r="J22" s="87"/>
      <c r="K22" s="87"/>
      <c r="L22" s="87"/>
      <c r="M22" s="70"/>
      <c r="N22" s="28"/>
      <c r="O22" s="88"/>
      <c r="P22" s="25"/>
      <c r="Q22" s="89"/>
      <c r="R22" s="25"/>
      <c r="S22" s="5"/>
      <c r="T22" s="88"/>
      <c r="U22" s="91"/>
    </row>
    <row r="23" ht="15.75" customHeight="1">
      <c r="A23" s="57" t="s">
        <v>39</v>
      </c>
      <c r="B23" s="58"/>
      <c r="C23" s="59"/>
      <c r="D23" s="60">
        <v>0.0</v>
      </c>
      <c r="E23" s="61"/>
      <c r="F23" s="60">
        <v>390906.0</v>
      </c>
      <c r="G23" s="62"/>
      <c r="H23" s="61"/>
      <c r="I23" s="59"/>
      <c r="J23" s="64">
        <v>61046.0</v>
      </c>
      <c r="K23" s="64">
        <f t="shared" ref="K23:K27" si="16">IF($F$4&gt;=12,F23,F23/12*$F$4)</f>
        <v>65151</v>
      </c>
      <c r="L23" s="64">
        <f t="shared" ref="L23:L27" si="17">J23-K23</f>
        <v>-4105</v>
      </c>
      <c r="M23" s="65">
        <f t="shared" ref="M23:M28" si="18">IF(F23=0,0,J23/F23)</f>
        <v>0.1561654208</v>
      </c>
      <c r="N23" s="28"/>
      <c r="O23" s="90"/>
      <c r="P23" s="25"/>
      <c r="Q23" s="67">
        <f t="shared" ref="Q23:Q27" si="19">IF(OR($F$4 = 12,$F$4 = 13),J23,(J23/$F$4)*12+O23)</f>
        <v>366276</v>
      </c>
      <c r="R23" s="25"/>
      <c r="S23" s="5"/>
      <c r="T23" s="68">
        <f t="shared" ref="T23:T27" si="20">Q23-F23</f>
        <v>-24630</v>
      </c>
      <c r="U23" s="91"/>
    </row>
    <row r="24" ht="15.75" customHeight="1">
      <c r="A24" s="57" t="s">
        <v>40</v>
      </c>
      <c r="B24" s="58"/>
      <c r="C24" s="59"/>
      <c r="D24" s="60">
        <v>0.0</v>
      </c>
      <c r="E24" s="61"/>
      <c r="F24" s="60">
        <v>66918.0</v>
      </c>
      <c r="G24" s="62"/>
      <c r="H24" s="61"/>
      <c r="I24" s="59"/>
      <c r="J24" s="64">
        <v>8947.0</v>
      </c>
      <c r="K24" s="64">
        <f t="shared" si="16"/>
        <v>11153</v>
      </c>
      <c r="L24" s="64">
        <f t="shared" si="17"/>
        <v>-2206</v>
      </c>
      <c r="M24" s="65">
        <f t="shared" si="18"/>
        <v>0.1337009474</v>
      </c>
      <c r="N24" s="28"/>
      <c r="O24" s="90"/>
      <c r="P24" s="25"/>
      <c r="Q24" s="67">
        <f t="shared" si="19"/>
        <v>53682</v>
      </c>
      <c r="R24" s="25"/>
      <c r="S24" s="5"/>
      <c r="T24" s="68">
        <f t="shared" si="20"/>
        <v>-13236</v>
      </c>
      <c r="U24" s="91"/>
    </row>
    <row r="25" ht="15.75" customHeight="1">
      <c r="A25" s="57" t="s">
        <v>41</v>
      </c>
      <c r="B25" s="58"/>
      <c r="C25" s="59"/>
      <c r="D25" s="60">
        <v>0.0</v>
      </c>
      <c r="E25" s="61"/>
      <c r="F25" s="60">
        <v>166765.0</v>
      </c>
      <c r="G25" s="62"/>
      <c r="H25" s="61"/>
      <c r="I25" s="59"/>
      <c r="J25" s="64">
        <v>24059.0</v>
      </c>
      <c r="K25" s="64">
        <f t="shared" si="16"/>
        <v>27794.16667</v>
      </c>
      <c r="L25" s="64">
        <f t="shared" si="17"/>
        <v>-3735.166667</v>
      </c>
      <c r="M25" s="65">
        <f t="shared" si="18"/>
        <v>0.1442688814</v>
      </c>
      <c r="N25" s="28"/>
      <c r="O25" s="90"/>
      <c r="P25" s="25"/>
      <c r="Q25" s="67">
        <f t="shared" si="19"/>
        <v>144354</v>
      </c>
      <c r="R25" s="25"/>
      <c r="S25" s="5"/>
      <c r="T25" s="68">
        <f t="shared" si="20"/>
        <v>-22411</v>
      </c>
      <c r="U25" s="91"/>
    </row>
    <row r="26" ht="15.75" customHeight="1">
      <c r="A26" s="57" t="s">
        <v>42</v>
      </c>
      <c r="B26" s="58"/>
      <c r="C26" s="59"/>
      <c r="D26" s="60">
        <v>0.0</v>
      </c>
      <c r="E26" s="61"/>
      <c r="F26" s="60">
        <v>15897.0</v>
      </c>
      <c r="G26" s="62"/>
      <c r="H26" s="61"/>
      <c r="I26" s="59"/>
      <c r="J26" s="64">
        <v>3156.0</v>
      </c>
      <c r="K26" s="64">
        <f t="shared" si="16"/>
        <v>2649.5</v>
      </c>
      <c r="L26" s="64">
        <f t="shared" si="17"/>
        <v>506.5</v>
      </c>
      <c r="M26" s="65">
        <f t="shared" si="18"/>
        <v>0.1985280242</v>
      </c>
      <c r="N26" s="28"/>
      <c r="O26" s="90"/>
      <c r="P26" s="25"/>
      <c r="Q26" s="67">
        <f t="shared" si="19"/>
        <v>18936</v>
      </c>
      <c r="R26" s="25"/>
      <c r="S26" s="5"/>
      <c r="T26" s="68">
        <f t="shared" si="20"/>
        <v>3039</v>
      </c>
      <c r="U26" s="91"/>
    </row>
    <row r="27" ht="15.75" customHeight="1">
      <c r="A27" s="57" t="s">
        <v>43</v>
      </c>
      <c r="B27" s="58"/>
      <c r="C27" s="59"/>
      <c r="D27" s="60">
        <v>0.0</v>
      </c>
      <c r="E27" s="61"/>
      <c r="F27" s="60">
        <v>65815.0</v>
      </c>
      <c r="G27" s="62"/>
      <c r="H27" s="61"/>
      <c r="I27" s="59"/>
      <c r="J27" s="64">
        <v>10314.0</v>
      </c>
      <c r="K27" s="64">
        <f t="shared" si="16"/>
        <v>10969.16667</v>
      </c>
      <c r="L27" s="64">
        <f t="shared" si="17"/>
        <v>-655.1666667</v>
      </c>
      <c r="M27" s="65">
        <f t="shared" si="18"/>
        <v>0.1567119957</v>
      </c>
      <c r="N27" s="28"/>
      <c r="O27" s="90"/>
      <c r="P27" s="25"/>
      <c r="Q27" s="67">
        <f t="shared" si="19"/>
        <v>61884</v>
      </c>
      <c r="R27" s="25"/>
      <c r="S27" s="5"/>
      <c r="T27" s="68">
        <f t="shared" si="20"/>
        <v>-3931</v>
      </c>
      <c r="U27" s="91"/>
    </row>
    <row r="28" ht="15.75" customHeight="1">
      <c r="A28" s="93" t="s">
        <v>44</v>
      </c>
      <c r="B28" s="94">
        <f>SUM(B23:B27)</f>
        <v>0</v>
      </c>
      <c r="C28" s="95"/>
      <c r="D28" s="96">
        <f t="shared" ref="D28:F28" si="21">SUM(D23:D27)</f>
        <v>0</v>
      </c>
      <c r="E28" s="96">
        <f t="shared" si="21"/>
        <v>0</v>
      </c>
      <c r="F28" s="96">
        <f t="shared" si="21"/>
        <v>706301</v>
      </c>
      <c r="G28" s="62"/>
      <c r="H28" s="96">
        <f>SUM(H23:H27)</f>
        <v>0</v>
      </c>
      <c r="I28" s="59"/>
      <c r="J28" s="96">
        <f t="shared" ref="J28:L28" si="22">SUM(J23:J27)</f>
        <v>107522</v>
      </c>
      <c r="K28" s="96">
        <f t="shared" si="22"/>
        <v>117716.8333</v>
      </c>
      <c r="L28" s="97">
        <f t="shared" si="22"/>
        <v>-10194.83333</v>
      </c>
      <c r="M28" s="98">
        <f t="shared" si="18"/>
        <v>0.1522325467</v>
      </c>
      <c r="N28" s="28"/>
      <c r="O28" s="99">
        <f>SUM(O23:O27)</f>
        <v>0</v>
      </c>
      <c r="P28" s="100"/>
      <c r="Q28" s="101">
        <f>SUM(Q23:Q27)</f>
        <v>645132</v>
      </c>
      <c r="R28" s="100"/>
      <c r="S28" s="15"/>
      <c r="T28" s="102">
        <f>SUM(T23:T27)</f>
        <v>-61169</v>
      </c>
      <c r="U28" s="95"/>
    </row>
    <row r="29" ht="15.75" customHeight="1">
      <c r="A29" s="57"/>
      <c r="B29" s="103"/>
      <c r="C29" s="59"/>
      <c r="D29" s="87"/>
      <c r="E29" s="59"/>
      <c r="F29" s="59"/>
      <c r="G29" s="62"/>
      <c r="H29" s="87"/>
      <c r="I29" s="59"/>
      <c r="J29" s="87"/>
      <c r="K29" s="87"/>
      <c r="L29" s="87"/>
      <c r="M29" s="70"/>
      <c r="N29" s="28"/>
      <c r="O29" s="88"/>
      <c r="P29" s="25"/>
      <c r="Q29" s="89"/>
      <c r="R29" s="25"/>
      <c r="S29" s="5"/>
      <c r="T29" s="88"/>
      <c r="U29" s="59"/>
    </row>
    <row r="30" ht="15.75" customHeight="1">
      <c r="A30" s="57" t="s">
        <v>45</v>
      </c>
      <c r="B30" s="58"/>
      <c r="C30" s="59"/>
      <c r="D30" s="60">
        <v>0.0</v>
      </c>
      <c r="E30" s="61"/>
      <c r="F30" s="60">
        <v>3310.0</v>
      </c>
      <c r="G30" s="62"/>
      <c r="H30" s="61"/>
      <c r="I30" s="59"/>
      <c r="J30" s="64">
        <v>256.0</v>
      </c>
      <c r="K30" s="64">
        <f t="shared" ref="K30:K33" si="23">IF($F$4&gt;=12,F30,F30/12*$F$4)</f>
        <v>551.6666667</v>
      </c>
      <c r="L30" s="64">
        <f t="shared" ref="L30:L33" si="24">J30-K30</f>
        <v>-295.6666667</v>
      </c>
      <c r="M30" s="65">
        <f t="shared" ref="M30:M34" si="25">IF(F30=0,0,J30/F30)</f>
        <v>0.07734138973</v>
      </c>
      <c r="N30" s="28"/>
      <c r="O30" s="90"/>
      <c r="P30" s="25"/>
      <c r="Q30" s="67">
        <f t="shared" ref="Q30:Q33" si="26">IF(OR($F$4 = 12,$F$4 = 13),J30,(J30/$F$4)*12+O30)</f>
        <v>1536</v>
      </c>
      <c r="R30" s="25"/>
      <c r="S30" s="5"/>
      <c r="T30" s="68">
        <f t="shared" ref="T30:T33" si="27">Q30-F30</f>
        <v>-1774</v>
      </c>
      <c r="U30" s="104"/>
    </row>
    <row r="31" ht="15.75" customHeight="1">
      <c r="A31" s="57" t="s">
        <v>46</v>
      </c>
      <c r="B31" s="58"/>
      <c r="C31" s="59"/>
      <c r="D31" s="60">
        <v>0.0</v>
      </c>
      <c r="E31" s="61"/>
      <c r="F31" s="60">
        <v>2360.0</v>
      </c>
      <c r="G31" s="62"/>
      <c r="H31" s="61"/>
      <c r="I31" s="59"/>
      <c r="J31" s="64">
        <v>549.0</v>
      </c>
      <c r="K31" s="64">
        <f t="shared" si="23"/>
        <v>393.3333333</v>
      </c>
      <c r="L31" s="64">
        <f t="shared" si="24"/>
        <v>155.6666667</v>
      </c>
      <c r="M31" s="65">
        <f t="shared" si="25"/>
        <v>0.2326271186</v>
      </c>
      <c r="N31" s="28"/>
      <c r="O31" s="90"/>
      <c r="P31" s="25"/>
      <c r="Q31" s="67">
        <f t="shared" si="26"/>
        <v>3294</v>
      </c>
      <c r="R31" s="25"/>
      <c r="S31" s="5"/>
      <c r="T31" s="68">
        <f t="shared" si="27"/>
        <v>934</v>
      </c>
      <c r="U31" s="104"/>
    </row>
    <row r="32" ht="15.75" customHeight="1">
      <c r="A32" s="57" t="s">
        <v>47</v>
      </c>
      <c r="B32" s="58"/>
      <c r="C32" s="59"/>
      <c r="D32" s="60">
        <v>0.0</v>
      </c>
      <c r="E32" s="61"/>
      <c r="F32" s="60">
        <v>0.0</v>
      </c>
      <c r="G32" s="62"/>
      <c r="H32" s="61"/>
      <c r="I32" s="59"/>
      <c r="J32" s="64">
        <v>0.0</v>
      </c>
      <c r="K32" s="64">
        <f t="shared" si="23"/>
        <v>0</v>
      </c>
      <c r="L32" s="64">
        <f t="shared" si="24"/>
        <v>0</v>
      </c>
      <c r="M32" s="65">
        <f t="shared" si="25"/>
        <v>0</v>
      </c>
      <c r="N32" s="28"/>
      <c r="O32" s="90"/>
      <c r="P32" s="25"/>
      <c r="Q32" s="67">
        <f t="shared" si="26"/>
        <v>0</v>
      </c>
      <c r="R32" s="25"/>
      <c r="S32" s="5"/>
      <c r="T32" s="68">
        <f t="shared" si="27"/>
        <v>0</v>
      </c>
      <c r="U32" s="5"/>
    </row>
    <row r="33" ht="15.75" customHeight="1">
      <c r="A33" s="57" t="s">
        <v>48</v>
      </c>
      <c r="B33" s="58"/>
      <c r="C33" s="59"/>
      <c r="D33" s="60">
        <v>0.0</v>
      </c>
      <c r="E33" s="61"/>
      <c r="F33" s="60">
        <v>0.0</v>
      </c>
      <c r="G33" s="62"/>
      <c r="H33" s="61"/>
      <c r="I33" s="59"/>
      <c r="J33" s="64">
        <v>0.0</v>
      </c>
      <c r="K33" s="64">
        <f t="shared" si="23"/>
        <v>0</v>
      </c>
      <c r="L33" s="64">
        <f t="shared" si="24"/>
        <v>0</v>
      </c>
      <c r="M33" s="65">
        <f t="shared" si="25"/>
        <v>0</v>
      </c>
      <c r="N33" s="28"/>
      <c r="O33" s="90"/>
      <c r="P33" s="25"/>
      <c r="Q33" s="67">
        <f t="shared" si="26"/>
        <v>0</v>
      </c>
      <c r="R33" s="25"/>
      <c r="S33" s="5"/>
      <c r="T33" s="68">
        <f t="shared" si="27"/>
        <v>0</v>
      </c>
      <c r="U33" s="5"/>
    </row>
    <row r="34" ht="15.75" customHeight="1">
      <c r="A34" s="93" t="s">
        <v>49</v>
      </c>
      <c r="B34" s="94">
        <f>SUM(B30:B33)</f>
        <v>0</v>
      </c>
      <c r="C34" s="95"/>
      <c r="D34" s="96">
        <f t="shared" ref="D34:F34" si="28">SUM(D30:D33)</f>
        <v>0</v>
      </c>
      <c r="E34" s="96">
        <f t="shared" si="28"/>
        <v>0</v>
      </c>
      <c r="F34" s="96">
        <f t="shared" si="28"/>
        <v>5670</v>
      </c>
      <c r="G34" s="62"/>
      <c r="H34" s="96">
        <f>SUM(H30:H33)</f>
        <v>0</v>
      </c>
      <c r="I34" s="59"/>
      <c r="J34" s="96">
        <f t="shared" ref="J34:L34" si="29">SUM(J30:J33)</f>
        <v>805</v>
      </c>
      <c r="K34" s="96">
        <f t="shared" si="29"/>
        <v>945</v>
      </c>
      <c r="L34" s="97">
        <f t="shared" si="29"/>
        <v>-140</v>
      </c>
      <c r="M34" s="98">
        <f t="shared" si="25"/>
        <v>0.1419753086</v>
      </c>
      <c r="N34" s="28"/>
      <c r="O34" s="99">
        <f>SUM(O30:O33)</f>
        <v>0</v>
      </c>
      <c r="P34" s="25"/>
      <c r="Q34" s="101">
        <f>SUM(Q30:Q33)</f>
        <v>4830</v>
      </c>
      <c r="R34" s="100"/>
      <c r="S34" s="15"/>
      <c r="T34" s="102">
        <f>SUM(T30:T33)</f>
        <v>-840</v>
      </c>
      <c r="U34" s="100"/>
    </row>
    <row r="35" ht="15.75" customHeight="1">
      <c r="A35" s="57"/>
      <c r="B35" s="59"/>
      <c r="C35" s="59"/>
      <c r="D35" s="87"/>
      <c r="E35" s="59"/>
      <c r="F35" s="59"/>
      <c r="G35" s="62"/>
      <c r="H35" s="87"/>
      <c r="I35" s="59"/>
      <c r="J35" s="87"/>
      <c r="K35" s="87"/>
      <c r="L35" s="87"/>
      <c r="M35" s="70"/>
      <c r="N35" s="28"/>
      <c r="O35" s="88"/>
      <c r="P35" s="25"/>
      <c r="Q35" s="89"/>
      <c r="R35" s="25"/>
      <c r="S35" s="5"/>
      <c r="T35" s="88"/>
      <c r="U35" s="5"/>
    </row>
    <row r="36" ht="15.75" customHeight="1">
      <c r="A36" s="57" t="s">
        <v>50</v>
      </c>
      <c r="B36" s="58"/>
      <c r="C36" s="59"/>
      <c r="D36" s="60">
        <v>0.0</v>
      </c>
      <c r="E36" s="61"/>
      <c r="F36" s="60">
        <v>20000.0</v>
      </c>
      <c r="G36" s="62"/>
      <c r="H36" s="61"/>
      <c r="I36" s="59"/>
      <c r="J36" s="64">
        <v>330.0</v>
      </c>
      <c r="K36" s="64">
        <f t="shared" ref="K36:K43" si="30">IF($F$4&gt;=12,F36,F36/12*$F$4)</f>
        <v>3333.333333</v>
      </c>
      <c r="L36" s="64">
        <f t="shared" ref="L36:L43" si="31">J36-K36</f>
        <v>-3003.333333</v>
      </c>
      <c r="M36" s="65">
        <f t="shared" ref="M36:M44" si="32">IF(F36=0,0,J36/F36)</f>
        <v>0.0165</v>
      </c>
      <c r="N36" s="28"/>
      <c r="O36" s="90"/>
      <c r="P36" s="25"/>
      <c r="Q36" s="67">
        <f t="shared" ref="Q36:Q43" si="33">IF(OR($F$4 = 12,$F$4 = 13),J36,(J36/$F$4)*12+O36)</f>
        <v>1980</v>
      </c>
      <c r="R36" s="5"/>
      <c r="S36" s="5"/>
      <c r="T36" s="68">
        <f t="shared" ref="T36:T43" si="34">Q36-F36</f>
        <v>-18020</v>
      </c>
      <c r="U36" s="5"/>
    </row>
    <row r="37" ht="15.75" customHeight="1">
      <c r="A37" s="57" t="s">
        <v>51</v>
      </c>
      <c r="B37" s="58"/>
      <c r="C37" s="59"/>
      <c r="D37" s="60">
        <v>0.0</v>
      </c>
      <c r="E37" s="61"/>
      <c r="F37" s="60">
        <v>1000.0</v>
      </c>
      <c r="G37" s="62"/>
      <c r="H37" s="61"/>
      <c r="I37" s="59"/>
      <c r="J37" s="64">
        <v>1242.0</v>
      </c>
      <c r="K37" s="64">
        <f t="shared" si="30"/>
        <v>166.6666667</v>
      </c>
      <c r="L37" s="64">
        <f t="shared" si="31"/>
        <v>1075.333333</v>
      </c>
      <c r="M37" s="65">
        <f t="shared" si="32"/>
        <v>1.242</v>
      </c>
      <c r="N37" s="28"/>
      <c r="O37" s="90"/>
      <c r="P37" s="25"/>
      <c r="Q37" s="67">
        <f t="shared" si="33"/>
        <v>7452</v>
      </c>
      <c r="R37" s="25"/>
      <c r="S37" s="5"/>
      <c r="T37" s="68">
        <f t="shared" si="34"/>
        <v>6452</v>
      </c>
      <c r="U37" s="5"/>
    </row>
    <row r="38" ht="15.75" customHeight="1">
      <c r="A38" s="57" t="s">
        <v>52</v>
      </c>
      <c r="B38" s="58"/>
      <c r="C38" s="59"/>
      <c r="D38" s="60">
        <v>0.0</v>
      </c>
      <c r="E38" s="61"/>
      <c r="F38" s="60">
        <v>100930.0</v>
      </c>
      <c r="G38" s="62"/>
      <c r="H38" s="61"/>
      <c r="I38" s="59"/>
      <c r="J38" s="64">
        <v>18842.0</v>
      </c>
      <c r="K38" s="64">
        <f t="shared" si="30"/>
        <v>16821.66667</v>
      </c>
      <c r="L38" s="64">
        <f t="shared" si="31"/>
        <v>2020.333333</v>
      </c>
      <c r="M38" s="65">
        <f t="shared" si="32"/>
        <v>0.1866838403</v>
      </c>
      <c r="N38" s="28"/>
      <c r="O38" s="90"/>
      <c r="P38" s="25"/>
      <c r="Q38" s="67">
        <f t="shared" si="33"/>
        <v>113052</v>
      </c>
      <c r="R38" s="25"/>
      <c r="S38" s="5"/>
      <c r="T38" s="68">
        <f t="shared" si="34"/>
        <v>12122</v>
      </c>
      <c r="U38" s="5"/>
    </row>
    <row r="39" ht="15.75" customHeight="1">
      <c r="A39" s="57" t="s">
        <v>53</v>
      </c>
      <c r="B39" s="58"/>
      <c r="C39" s="59"/>
      <c r="D39" s="60">
        <v>0.0</v>
      </c>
      <c r="E39" s="61"/>
      <c r="F39" s="60">
        <v>7000.0</v>
      </c>
      <c r="G39" s="62"/>
      <c r="H39" s="61"/>
      <c r="I39" s="59"/>
      <c r="J39" s="64">
        <v>2905.0</v>
      </c>
      <c r="K39" s="64">
        <f t="shared" si="30"/>
        <v>1166.666667</v>
      </c>
      <c r="L39" s="64">
        <f t="shared" si="31"/>
        <v>1738.333333</v>
      </c>
      <c r="M39" s="65">
        <f t="shared" si="32"/>
        <v>0.415</v>
      </c>
      <c r="N39" s="28"/>
      <c r="O39" s="90"/>
      <c r="P39" s="25"/>
      <c r="Q39" s="67">
        <f t="shared" si="33"/>
        <v>17430</v>
      </c>
      <c r="R39" s="25"/>
      <c r="S39" s="5"/>
      <c r="T39" s="68">
        <f t="shared" si="34"/>
        <v>10430</v>
      </c>
      <c r="U39" s="5"/>
    </row>
    <row r="40" ht="15.75" customHeight="1">
      <c r="A40" s="57" t="s">
        <v>54</v>
      </c>
      <c r="B40" s="58"/>
      <c r="C40" s="59"/>
      <c r="D40" s="60">
        <v>0.0</v>
      </c>
      <c r="E40" s="61"/>
      <c r="F40" s="60">
        <v>50000.0</v>
      </c>
      <c r="G40" s="62"/>
      <c r="H40" s="61"/>
      <c r="I40" s="59"/>
      <c r="J40" s="64">
        <v>9595.0</v>
      </c>
      <c r="K40" s="64">
        <f t="shared" si="30"/>
        <v>8333.333333</v>
      </c>
      <c r="L40" s="64">
        <f t="shared" si="31"/>
        <v>1261.666667</v>
      </c>
      <c r="M40" s="65">
        <f t="shared" si="32"/>
        <v>0.1919</v>
      </c>
      <c r="N40" s="28"/>
      <c r="O40" s="90"/>
      <c r="P40" s="25"/>
      <c r="Q40" s="67">
        <f t="shared" si="33"/>
        <v>57570</v>
      </c>
      <c r="R40" s="25"/>
      <c r="S40" s="5"/>
      <c r="T40" s="68">
        <f t="shared" si="34"/>
        <v>7570</v>
      </c>
      <c r="U40" s="5"/>
    </row>
    <row r="41" ht="15.75" customHeight="1">
      <c r="A41" s="57" t="s">
        <v>55</v>
      </c>
      <c r="B41" s="58"/>
      <c r="C41" s="59"/>
      <c r="D41" s="60">
        <v>0.0</v>
      </c>
      <c r="E41" s="61"/>
      <c r="F41" s="60">
        <v>0.0</v>
      </c>
      <c r="G41" s="62"/>
      <c r="H41" s="61"/>
      <c r="I41" s="59"/>
      <c r="J41" s="64">
        <v>0.0</v>
      </c>
      <c r="K41" s="64">
        <f t="shared" si="30"/>
        <v>0</v>
      </c>
      <c r="L41" s="64">
        <f t="shared" si="31"/>
        <v>0</v>
      </c>
      <c r="M41" s="65">
        <f t="shared" si="32"/>
        <v>0</v>
      </c>
      <c r="N41" s="28"/>
      <c r="O41" s="90"/>
      <c r="P41" s="25"/>
      <c r="Q41" s="67">
        <f t="shared" si="33"/>
        <v>0</v>
      </c>
      <c r="R41" s="25"/>
      <c r="S41" s="5"/>
      <c r="T41" s="68">
        <f t="shared" si="34"/>
        <v>0</v>
      </c>
      <c r="U41" s="5"/>
    </row>
    <row r="42" ht="15.75" customHeight="1">
      <c r="A42" s="57" t="s">
        <v>56</v>
      </c>
      <c r="B42" s="58"/>
      <c r="C42" s="59"/>
      <c r="D42" s="60">
        <v>0.0</v>
      </c>
      <c r="E42" s="61"/>
      <c r="F42" s="60">
        <v>26965.0</v>
      </c>
      <c r="G42" s="62"/>
      <c r="H42" s="61"/>
      <c r="I42" s="59"/>
      <c r="J42" s="64">
        <v>16329.0</v>
      </c>
      <c r="K42" s="64">
        <f t="shared" si="30"/>
        <v>4494.166667</v>
      </c>
      <c r="L42" s="64">
        <f t="shared" si="31"/>
        <v>11834.83333</v>
      </c>
      <c r="M42" s="65">
        <f t="shared" si="32"/>
        <v>0.6055627665</v>
      </c>
      <c r="N42" s="28"/>
      <c r="O42" s="90"/>
      <c r="P42" s="25"/>
      <c r="Q42" s="67">
        <f t="shared" si="33"/>
        <v>97974</v>
      </c>
      <c r="R42" s="25"/>
      <c r="S42" s="5"/>
      <c r="T42" s="68">
        <f t="shared" si="34"/>
        <v>71009</v>
      </c>
      <c r="U42" s="5"/>
    </row>
    <row r="43" ht="15.75" customHeight="1">
      <c r="A43" s="57" t="s">
        <v>57</v>
      </c>
      <c r="B43" s="58"/>
      <c r="C43" s="59"/>
      <c r="D43" s="60">
        <v>0.0</v>
      </c>
      <c r="E43" s="61"/>
      <c r="F43" s="60">
        <v>12065.0</v>
      </c>
      <c r="G43" s="62"/>
      <c r="H43" s="61"/>
      <c r="I43" s="59"/>
      <c r="J43" s="64">
        <v>0.0</v>
      </c>
      <c r="K43" s="64">
        <f t="shared" si="30"/>
        <v>2010.833333</v>
      </c>
      <c r="L43" s="64">
        <f t="shared" si="31"/>
        <v>-2010.833333</v>
      </c>
      <c r="M43" s="65">
        <f t="shared" si="32"/>
        <v>0</v>
      </c>
      <c r="N43" s="28"/>
      <c r="O43" s="90"/>
      <c r="P43" s="25"/>
      <c r="Q43" s="67">
        <f t="shared" si="33"/>
        <v>0</v>
      </c>
      <c r="R43" s="25"/>
      <c r="S43" s="5"/>
      <c r="T43" s="68">
        <f t="shared" si="34"/>
        <v>-12065</v>
      </c>
      <c r="U43" s="5"/>
    </row>
    <row r="44" ht="15.75" customHeight="1">
      <c r="A44" s="93" t="s">
        <v>58</v>
      </c>
      <c r="B44" s="94">
        <f>SUM(B36:B43)</f>
        <v>0</v>
      </c>
      <c r="C44" s="95"/>
      <c r="D44" s="96">
        <f t="shared" ref="D44:F44" si="35">SUM(D36:D43)</f>
        <v>0</v>
      </c>
      <c r="E44" s="96">
        <f t="shared" si="35"/>
        <v>0</v>
      </c>
      <c r="F44" s="96">
        <f t="shared" si="35"/>
        <v>217960</v>
      </c>
      <c r="G44" s="62"/>
      <c r="H44" s="96">
        <f>SUM(H36:H43)</f>
        <v>0</v>
      </c>
      <c r="I44" s="59"/>
      <c r="J44" s="96">
        <f t="shared" ref="J44:L44" si="36">SUM(J36:J43)</f>
        <v>49243</v>
      </c>
      <c r="K44" s="96">
        <f t="shared" si="36"/>
        <v>36326.66667</v>
      </c>
      <c r="L44" s="105">
        <f t="shared" si="36"/>
        <v>12916.33333</v>
      </c>
      <c r="M44" s="98">
        <f t="shared" si="32"/>
        <v>0.2259267756</v>
      </c>
      <c r="N44" s="28"/>
      <c r="O44" s="99">
        <f>SUM(O36:O43)</f>
        <v>0</v>
      </c>
      <c r="P44" s="25"/>
      <c r="Q44" s="101">
        <f>SUM(Q36:Q43)</f>
        <v>295458</v>
      </c>
      <c r="R44" s="100"/>
      <c r="S44" s="15"/>
      <c r="T44" s="102">
        <f>SUM(T36:T43)</f>
        <v>77498</v>
      </c>
      <c r="U44" s="15"/>
    </row>
    <row r="45" ht="15.75" customHeight="1">
      <c r="A45" s="57"/>
      <c r="B45" s="59"/>
      <c r="C45" s="59"/>
      <c r="D45" s="87"/>
      <c r="E45" s="59"/>
      <c r="F45" s="59"/>
      <c r="G45" s="62"/>
      <c r="H45" s="87"/>
      <c r="I45" s="59"/>
      <c r="J45" s="87"/>
      <c r="K45" s="87"/>
      <c r="L45" s="87"/>
      <c r="M45" s="70"/>
      <c r="N45" s="28"/>
      <c r="O45" s="88"/>
      <c r="P45" s="25"/>
      <c r="Q45" s="89"/>
      <c r="R45" s="25"/>
      <c r="S45" s="5"/>
      <c r="T45" s="88"/>
      <c r="U45" s="5"/>
    </row>
    <row r="46" ht="15.75" customHeight="1">
      <c r="A46" s="57" t="s">
        <v>59</v>
      </c>
      <c r="B46" s="58"/>
      <c r="C46" s="59"/>
      <c r="D46" s="60">
        <v>0.0</v>
      </c>
      <c r="E46" s="61"/>
      <c r="F46" s="60">
        <v>73047.0</v>
      </c>
      <c r="G46" s="62"/>
      <c r="H46" s="61"/>
      <c r="I46" s="59"/>
      <c r="J46" s="64">
        <v>28572.0</v>
      </c>
      <c r="K46" s="64">
        <f t="shared" ref="K46:K55" si="37">IF($F$4&gt;=12,F46,F46/12*$F$4)</f>
        <v>12174.5</v>
      </c>
      <c r="L46" s="64">
        <f t="shared" ref="L46:L55" si="38">J46-K46</f>
        <v>16397.5</v>
      </c>
      <c r="M46" s="65">
        <f t="shared" ref="M46:M56" si="39">IF(F46=0,0,J46/F46)</f>
        <v>0.3911454269</v>
      </c>
      <c r="N46" s="28"/>
      <c r="O46" s="90"/>
      <c r="P46" s="25"/>
      <c r="Q46" s="67">
        <f t="shared" ref="Q46:Q47" si="40">IF(OR($F$4 = 12,$F$4 = 13),J46,(J46/$F$4)*12+O46)</f>
        <v>171432</v>
      </c>
      <c r="R46" s="25"/>
      <c r="S46" s="5"/>
      <c r="T46" s="68">
        <f t="shared" ref="T46:T47" si="41">Q46-F46</f>
        <v>98385</v>
      </c>
      <c r="U46" s="5"/>
    </row>
    <row r="47" ht="15.75" customHeight="1">
      <c r="A47" s="57" t="s">
        <v>60</v>
      </c>
      <c r="B47" s="58"/>
      <c r="C47" s="59"/>
      <c r="D47" s="60">
        <v>0.0</v>
      </c>
      <c r="E47" s="61"/>
      <c r="F47" s="60">
        <v>7500.0</v>
      </c>
      <c r="G47" s="62"/>
      <c r="H47" s="61"/>
      <c r="I47" s="59"/>
      <c r="J47" s="64">
        <v>0.0</v>
      </c>
      <c r="K47" s="64">
        <f t="shared" si="37"/>
        <v>1250</v>
      </c>
      <c r="L47" s="64">
        <f t="shared" si="38"/>
        <v>-1250</v>
      </c>
      <c r="M47" s="65">
        <f t="shared" si="39"/>
        <v>0</v>
      </c>
      <c r="N47" s="28"/>
      <c r="O47" s="90"/>
      <c r="P47" s="25"/>
      <c r="Q47" s="67">
        <f t="shared" si="40"/>
        <v>0</v>
      </c>
      <c r="R47" s="25"/>
      <c r="S47" s="5"/>
      <c r="T47" s="68">
        <f t="shared" si="41"/>
        <v>-7500</v>
      </c>
      <c r="U47" s="5"/>
    </row>
    <row r="48" ht="15.75" customHeight="1">
      <c r="A48" s="57" t="s">
        <v>61</v>
      </c>
      <c r="B48" s="58"/>
      <c r="C48" s="59"/>
      <c r="D48" s="60"/>
      <c r="E48" s="61"/>
      <c r="F48" s="60">
        <v>0.0</v>
      </c>
      <c r="G48" s="62"/>
      <c r="H48" s="61"/>
      <c r="I48" s="59"/>
      <c r="J48" s="64">
        <v>0.0</v>
      </c>
      <c r="K48" s="64">
        <f t="shared" si="37"/>
        <v>0</v>
      </c>
      <c r="L48" s="64">
        <f t="shared" si="38"/>
        <v>0</v>
      </c>
      <c r="M48" s="65">
        <f t="shared" si="39"/>
        <v>0</v>
      </c>
      <c r="N48" s="28"/>
      <c r="O48" s="90"/>
      <c r="P48" s="25"/>
      <c r="Q48" s="67"/>
      <c r="R48" s="25"/>
      <c r="S48" s="5"/>
      <c r="T48" s="68"/>
      <c r="U48" s="5"/>
    </row>
    <row r="49" ht="15.75" customHeight="1">
      <c r="A49" s="57" t="s">
        <v>62</v>
      </c>
      <c r="B49" s="58"/>
      <c r="C49" s="59"/>
      <c r="D49" s="60"/>
      <c r="E49" s="61"/>
      <c r="F49" s="60">
        <v>6187.0</v>
      </c>
      <c r="G49" s="62"/>
      <c r="H49" s="61"/>
      <c r="I49" s="59"/>
      <c r="J49" s="64">
        <v>3340.0</v>
      </c>
      <c r="K49" s="64">
        <f t="shared" si="37"/>
        <v>1031.166667</v>
      </c>
      <c r="L49" s="64">
        <f t="shared" si="38"/>
        <v>2308.833333</v>
      </c>
      <c r="M49" s="65">
        <f t="shared" si="39"/>
        <v>0.5398416034</v>
      </c>
      <c r="N49" s="28"/>
      <c r="O49" s="90"/>
      <c r="P49" s="25"/>
      <c r="Q49" s="67"/>
      <c r="R49" s="25"/>
      <c r="S49" s="5"/>
      <c r="T49" s="68"/>
      <c r="U49" s="5"/>
    </row>
    <row r="50" ht="15.75" customHeight="1">
      <c r="A50" s="57" t="s">
        <v>63</v>
      </c>
      <c r="B50" s="58"/>
      <c r="C50" s="59"/>
      <c r="D50" s="60"/>
      <c r="E50" s="61"/>
      <c r="F50" s="60">
        <v>39958.0</v>
      </c>
      <c r="G50" s="62"/>
      <c r="H50" s="61"/>
      <c r="I50" s="59"/>
      <c r="J50" s="64">
        <v>6809.0</v>
      </c>
      <c r="K50" s="64">
        <f t="shared" si="37"/>
        <v>6659.666667</v>
      </c>
      <c r="L50" s="64">
        <f t="shared" si="38"/>
        <v>149.3333333</v>
      </c>
      <c r="M50" s="65">
        <f t="shared" si="39"/>
        <v>0.1704039241</v>
      </c>
      <c r="N50" s="28"/>
      <c r="O50" s="90"/>
      <c r="P50" s="25"/>
      <c r="Q50" s="67"/>
      <c r="R50" s="25"/>
      <c r="S50" s="5"/>
      <c r="T50" s="68"/>
      <c r="U50" s="5"/>
    </row>
    <row r="51" ht="15.75" customHeight="1">
      <c r="A51" s="57" t="s">
        <v>64</v>
      </c>
      <c r="B51" s="58"/>
      <c r="C51" s="59"/>
      <c r="D51" s="60"/>
      <c r="E51" s="61"/>
      <c r="F51" s="60">
        <v>0.0</v>
      </c>
      <c r="G51" s="62"/>
      <c r="H51" s="61"/>
      <c r="I51" s="59"/>
      <c r="J51" s="64">
        <v>0.0</v>
      </c>
      <c r="K51" s="64">
        <f t="shared" si="37"/>
        <v>0</v>
      </c>
      <c r="L51" s="64">
        <f t="shared" si="38"/>
        <v>0</v>
      </c>
      <c r="M51" s="65">
        <f t="shared" si="39"/>
        <v>0</v>
      </c>
      <c r="N51" s="28"/>
      <c r="O51" s="90"/>
      <c r="P51" s="25"/>
      <c r="Q51" s="67"/>
      <c r="R51" s="25"/>
      <c r="S51" s="5"/>
      <c r="T51" s="68"/>
      <c r="U51" s="5"/>
    </row>
    <row r="52" ht="15.75" customHeight="1">
      <c r="A52" s="57" t="s">
        <v>65</v>
      </c>
      <c r="B52" s="58"/>
      <c r="C52" s="59"/>
      <c r="D52" s="60"/>
      <c r="E52" s="61"/>
      <c r="F52" s="60">
        <v>0.0</v>
      </c>
      <c r="G52" s="62"/>
      <c r="H52" s="61"/>
      <c r="I52" s="59"/>
      <c r="J52" s="64">
        <v>0.0</v>
      </c>
      <c r="K52" s="64">
        <f t="shared" si="37"/>
        <v>0</v>
      </c>
      <c r="L52" s="64">
        <f t="shared" si="38"/>
        <v>0</v>
      </c>
      <c r="M52" s="65">
        <f t="shared" si="39"/>
        <v>0</v>
      </c>
      <c r="N52" s="28"/>
      <c r="O52" s="90"/>
      <c r="P52" s="25"/>
      <c r="Q52" s="67"/>
      <c r="R52" s="25"/>
      <c r="S52" s="5"/>
      <c r="T52" s="68"/>
      <c r="U52" s="5"/>
    </row>
    <row r="53" ht="15.75" customHeight="1">
      <c r="A53" s="57" t="s">
        <v>66</v>
      </c>
      <c r="B53" s="58"/>
      <c r="C53" s="59"/>
      <c r="D53" s="60"/>
      <c r="E53" s="61"/>
      <c r="F53" s="60">
        <v>11897.0</v>
      </c>
      <c r="G53" s="62"/>
      <c r="H53" s="61"/>
      <c r="I53" s="59"/>
      <c r="J53" s="64">
        <v>11897.0</v>
      </c>
      <c r="K53" s="64">
        <f t="shared" si="37"/>
        <v>1982.833333</v>
      </c>
      <c r="L53" s="64">
        <f t="shared" si="38"/>
        <v>9914.166667</v>
      </c>
      <c r="M53" s="65">
        <f t="shared" si="39"/>
        <v>1</v>
      </c>
      <c r="N53" s="28"/>
      <c r="O53" s="90"/>
      <c r="P53" s="25"/>
      <c r="Q53" s="67"/>
      <c r="R53" s="25"/>
      <c r="S53" s="5"/>
      <c r="T53" s="68"/>
      <c r="U53" s="5"/>
    </row>
    <row r="54" ht="15.75" customHeight="1">
      <c r="A54" s="57" t="s">
        <v>67</v>
      </c>
      <c r="B54" s="58"/>
      <c r="C54" s="59"/>
      <c r="D54" s="60">
        <v>0.0</v>
      </c>
      <c r="E54" s="61"/>
      <c r="F54" s="60">
        <v>0.0</v>
      </c>
      <c r="G54" s="62"/>
      <c r="H54" s="61"/>
      <c r="I54" s="59"/>
      <c r="J54" s="64">
        <v>0.0</v>
      </c>
      <c r="K54" s="64">
        <f t="shared" si="37"/>
        <v>0</v>
      </c>
      <c r="L54" s="64">
        <f t="shared" si="38"/>
        <v>0</v>
      </c>
      <c r="M54" s="65">
        <f t="shared" si="39"/>
        <v>0</v>
      </c>
      <c r="N54" s="28"/>
      <c r="O54" s="90"/>
      <c r="P54" s="25"/>
      <c r="Q54" s="67">
        <f t="shared" ref="Q54:Q55" si="42">IF(OR($F$4 = 12,$F$4 = 13),J54,(J54/$F$4)*12+O54)</f>
        <v>0</v>
      </c>
      <c r="R54" s="25"/>
      <c r="S54" s="5"/>
      <c r="T54" s="68">
        <f t="shared" ref="T54:T55" si="43">Q54-F54</f>
        <v>0</v>
      </c>
      <c r="U54" s="5"/>
    </row>
    <row r="55" ht="15.75" customHeight="1">
      <c r="A55" s="57" t="s">
        <v>68</v>
      </c>
      <c r="B55" s="58"/>
      <c r="C55" s="59"/>
      <c r="D55" s="60">
        <v>0.0</v>
      </c>
      <c r="E55" s="61"/>
      <c r="F55" s="60">
        <v>497070.0</v>
      </c>
      <c r="G55" s="62"/>
      <c r="H55" s="61"/>
      <c r="I55" s="59"/>
      <c r="J55" s="64">
        <v>96357.0</v>
      </c>
      <c r="K55" s="64">
        <f t="shared" si="37"/>
        <v>82845</v>
      </c>
      <c r="L55" s="64">
        <f t="shared" si="38"/>
        <v>13512</v>
      </c>
      <c r="M55" s="65">
        <f t="shared" si="39"/>
        <v>0.1938499608</v>
      </c>
      <c r="N55" s="28"/>
      <c r="O55" s="90"/>
      <c r="P55" s="25"/>
      <c r="Q55" s="67">
        <f t="shared" si="42"/>
        <v>578142</v>
      </c>
      <c r="R55" s="25"/>
      <c r="S55" s="5"/>
      <c r="T55" s="68">
        <f t="shared" si="43"/>
        <v>81072</v>
      </c>
      <c r="U55" s="77"/>
    </row>
    <row r="56" ht="15.75" customHeight="1">
      <c r="A56" s="93" t="s">
        <v>69</v>
      </c>
      <c r="B56" s="94">
        <f>SUM(B46:B55)</f>
        <v>0</v>
      </c>
      <c r="C56" s="95"/>
      <c r="D56" s="96">
        <f t="shared" ref="D56:F56" si="44">SUM(D46:D55)</f>
        <v>0</v>
      </c>
      <c r="E56" s="96">
        <f t="shared" si="44"/>
        <v>0</v>
      </c>
      <c r="F56" s="96">
        <f t="shared" si="44"/>
        <v>635659</v>
      </c>
      <c r="G56" s="62"/>
      <c r="H56" s="96">
        <f>SUM(H46:H55)</f>
        <v>0</v>
      </c>
      <c r="I56" s="59"/>
      <c r="J56" s="96">
        <f t="shared" ref="J56:L56" si="45">SUM(J46:J55)</f>
        <v>146975</v>
      </c>
      <c r="K56" s="96">
        <f t="shared" si="45"/>
        <v>105943.1667</v>
      </c>
      <c r="L56" s="97">
        <f t="shared" si="45"/>
        <v>41031.83333</v>
      </c>
      <c r="M56" s="98">
        <f t="shared" si="39"/>
        <v>0.2312167373</v>
      </c>
      <c r="N56" s="28"/>
      <c r="O56" s="99">
        <f>SUM(O46:O55)</f>
        <v>0</v>
      </c>
      <c r="P56" s="25"/>
      <c r="Q56" s="101">
        <f>SUM(Q46:Q55)</f>
        <v>749574</v>
      </c>
      <c r="R56" s="100"/>
      <c r="S56" s="15"/>
      <c r="T56" s="102">
        <f>SUM(T46:T55)</f>
        <v>171957</v>
      </c>
      <c r="U56" s="15"/>
    </row>
    <row r="57" ht="15.75" customHeight="1">
      <c r="A57" s="57"/>
      <c r="B57" s="59"/>
      <c r="C57" s="59"/>
      <c r="D57" s="87"/>
      <c r="E57" s="59"/>
      <c r="F57" s="59"/>
      <c r="G57" s="62"/>
      <c r="H57" s="87"/>
      <c r="I57" s="59"/>
      <c r="J57" s="87"/>
      <c r="K57" s="87"/>
      <c r="L57" s="87"/>
      <c r="M57" s="70"/>
      <c r="N57" s="28"/>
      <c r="O57" s="88"/>
      <c r="P57" s="25"/>
      <c r="Q57" s="89"/>
      <c r="R57" s="25"/>
      <c r="S57" s="5"/>
      <c r="T57" s="88"/>
      <c r="U57" s="5"/>
    </row>
    <row r="58" ht="15.75" customHeight="1">
      <c r="A58" s="57" t="s">
        <v>70</v>
      </c>
      <c r="B58" s="58"/>
      <c r="C58" s="59"/>
      <c r="D58" s="60">
        <v>0.0</v>
      </c>
      <c r="E58" s="61"/>
      <c r="F58" s="60">
        <v>8071.0</v>
      </c>
      <c r="G58" s="62"/>
      <c r="H58" s="61"/>
      <c r="I58" s="59"/>
      <c r="J58" s="64">
        <v>1194.0</v>
      </c>
      <c r="K58" s="64">
        <f t="shared" ref="K58:K66" si="46">IF($F$4&gt;=12,F58,F58/12*$F$4)</f>
        <v>1345.166667</v>
      </c>
      <c r="L58" s="64">
        <f t="shared" ref="L58:L66" si="47">J58-K58</f>
        <v>-151.1666667</v>
      </c>
      <c r="M58" s="65">
        <f t="shared" ref="M58:M67" si="48">IF(F58=0,0,J58/F58)</f>
        <v>0.1479370586</v>
      </c>
      <c r="N58" s="28"/>
      <c r="O58" s="90"/>
      <c r="P58" s="25"/>
      <c r="Q58" s="67">
        <f t="shared" ref="Q58:Q66" si="49">IF(OR($F$4 = 12,$F$4 = 13),J58,(J58/$F$4)*12+O58)</f>
        <v>7164</v>
      </c>
      <c r="R58" s="25"/>
      <c r="S58" s="5"/>
      <c r="T58" s="68">
        <f t="shared" ref="T58:T66" si="50">Q58-F58</f>
        <v>-907</v>
      </c>
      <c r="U58" s="5"/>
    </row>
    <row r="59" ht="15.75" customHeight="1">
      <c r="A59" s="57" t="s">
        <v>71</v>
      </c>
      <c r="B59" s="58"/>
      <c r="C59" s="59"/>
      <c r="D59" s="60">
        <v>0.0</v>
      </c>
      <c r="E59" s="61"/>
      <c r="F59" s="60">
        <v>0.0</v>
      </c>
      <c r="G59" s="62"/>
      <c r="H59" s="61"/>
      <c r="I59" s="59"/>
      <c r="J59" s="64">
        <v>0.0</v>
      </c>
      <c r="K59" s="64">
        <f t="shared" si="46"/>
        <v>0</v>
      </c>
      <c r="L59" s="64">
        <f t="shared" si="47"/>
        <v>0</v>
      </c>
      <c r="M59" s="65">
        <f t="shared" si="48"/>
        <v>0</v>
      </c>
      <c r="N59" s="28"/>
      <c r="O59" s="90"/>
      <c r="P59" s="25"/>
      <c r="Q59" s="67">
        <f t="shared" si="49"/>
        <v>0</v>
      </c>
      <c r="R59" s="25"/>
      <c r="S59" s="5"/>
      <c r="T59" s="68">
        <f t="shared" si="50"/>
        <v>0</v>
      </c>
      <c r="U59" s="5"/>
    </row>
    <row r="60" ht="15.75" customHeight="1">
      <c r="A60" s="57" t="s">
        <v>72</v>
      </c>
      <c r="B60" s="58"/>
      <c r="C60" s="59"/>
      <c r="D60" s="60">
        <v>0.0</v>
      </c>
      <c r="E60" s="61"/>
      <c r="F60" s="60">
        <v>234875.0</v>
      </c>
      <c r="G60" s="62"/>
      <c r="H60" s="61"/>
      <c r="I60" s="59"/>
      <c r="J60" s="64">
        <v>28143.0</v>
      </c>
      <c r="K60" s="64">
        <f t="shared" si="46"/>
        <v>39145.83333</v>
      </c>
      <c r="L60" s="64">
        <f t="shared" si="47"/>
        <v>-11002.83333</v>
      </c>
      <c r="M60" s="65">
        <f t="shared" si="48"/>
        <v>0.1198211815</v>
      </c>
      <c r="N60" s="28"/>
      <c r="O60" s="90"/>
      <c r="P60" s="25"/>
      <c r="Q60" s="67">
        <f t="shared" si="49"/>
        <v>168858</v>
      </c>
      <c r="R60" s="25"/>
      <c r="S60" s="5"/>
      <c r="T60" s="68">
        <f t="shared" si="50"/>
        <v>-66017</v>
      </c>
      <c r="U60" s="5"/>
    </row>
    <row r="61" ht="15.75" customHeight="1">
      <c r="A61" s="57" t="s">
        <v>73</v>
      </c>
      <c r="B61" s="58"/>
      <c r="C61" s="59"/>
      <c r="D61" s="60">
        <v>0.0</v>
      </c>
      <c r="E61" s="61"/>
      <c r="F61" s="60">
        <v>17047.0</v>
      </c>
      <c r="G61" s="62"/>
      <c r="H61" s="61"/>
      <c r="I61" s="59"/>
      <c r="J61" s="64">
        <v>9488.0</v>
      </c>
      <c r="K61" s="64">
        <f t="shared" si="46"/>
        <v>2841.166667</v>
      </c>
      <c r="L61" s="64">
        <f t="shared" si="47"/>
        <v>6646.833333</v>
      </c>
      <c r="M61" s="65">
        <f t="shared" si="48"/>
        <v>0.5565788702</v>
      </c>
      <c r="N61" s="28"/>
      <c r="O61" s="90"/>
      <c r="P61" s="25"/>
      <c r="Q61" s="67">
        <f t="shared" si="49"/>
        <v>56928</v>
      </c>
      <c r="R61" s="25"/>
      <c r="S61" s="5"/>
      <c r="T61" s="68">
        <f t="shared" si="50"/>
        <v>39881</v>
      </c>
      <c r="U61" s="77"/>
    </row>
    <row r="62" ht="15.75" customHeight="1">
      <c r="A62" s="57" t="s">
        <v>74</v>
      </c>
      <c r="B62" s="58"/>
      <c r="C62" s="59"/>
      <c r="D62" s="60">
        <v>0.0</v>
      </c>
      <c r="E62" s="61"/>
      <c r="F62" s="60">
        <v>0.0</v>
      </c>
      <c r="G62" s="62"/>
      <c r="H62" s="61"/>
      <c r="I62" s="59"/>
      <c r="J62" s="64">
        <v>0.0</v>
      </c>
      <c r="K62" s="64">
        <f t="shared" si="46"/>
        <v>0</v>
      </c>
      <c r="L62" s="64">
        <f t="shared" si="47"/>
        <v>0</v>
      </c>
      <c r="M62" s="65">
        <f t="shared" si="48"/>
        <v>0</v>
      </c>
      <c r="N62" s="28"/>
      <c r="O62" s="90"/>
      <c r="P62" s="25"/>
      <c r="Q62" s="67">
        <f t="shared" si="49"/>
        <v>0</v>
      </c>
      <c r="R62" s="25"/>
      <c r="S62" s="5"/>
      <c r="T62" s="68">
        <f t="shared" si="50"/>
        <v>0</v>
      </c>
      <c r="U62" s="77"/>
    </row>
    <row r="63" ht="15.75" customHeight="1">
      <c r="A63" s="57" t="s">
        <v>75</v>
      </c>
      <c r="B63" s="58"/>
      <c r="C63" s="59"/>
      <c r="D63" s="60">
        <v>0.0</v>
      </c>
      <c r="E63" s="61"/>
      <c r="F63" s="60">
        <v>0.0</v>
      </c>
      <c r="G63" s="62"/>
      <c r="H63" s="61"/>
      <c r="I63" s="59"/>
      <c r="J63" s="64">
        <v>0.0</v>
      </c>
      <c r="K63" s="64">
        <f t="shared" si="46"/>
        <v>0</v>
      </c>
      <c r="L63" s="64">
        <f t="shared" si="47"/>
        <v>0</v>
      </c>
      <c r="M63" s="65">
        <f t="shared" si="48"/>
        <v>0</v>
      </c>
      <c r="N63" s="28"/>
      <c r="O63" s="90"/>
      <c r="P63" s="25"/>
      <c r="Q63" s="67">
        <f t="shared" si="49"/>
        <v>0</v>
      </c>
      <c r="R63" s="25"/>
      <c r="S63" s="5"/>
      <c r="T63" s="68">
        <f t="shared" si="50"/>
        <v>0</v>
      </c>
      <c r="U63" s="5"/>
    </row>
    <row r="64" ht="15.75" customHeight="1">
      <c r="A64" s="57" t="s">
        <v>76</v>
      </c>
      <c r="B64" s="58"/>
      <c r="C64" s="59"/>
      <c r="D64" s="60">
        <v>0.0</v>
      </c>
      <c r="E64" s="61"/>
      <c r="F64" s="60">
        <v>0.0</v>
      </c>
      <c r="G64" s="62"/>
      <c r="H64" s="61"/>
      <c r="I64" s="59"/>
      <c r="J64" s="64">
        <v>0.0</v>
      </c>
      <c r="K64" s="64">
        <f t="shared" si="46"/>
        <v>0</v>
      </c>
      <c r="L64" s="64">
        <f t="shared" si="47"/>
        <v>0</v>
      </c>
      <c r="M64" s="65">
        <f t="shared" si="48"/>
        <v>0</v>
      </c>
      <c r="N64" s="28"/>
      <c r="O64" s="90"/>
      <c r="P64" s="25"/>
      <c r="Q64" s="67">
        <f t="shared" si="49"/>
        <v>0</v>
      </c>
      <c r="R64" s="25"/>
      <c r="S64" s="5"/>
      <c r="T64" s="68">
        <f t="shared" si="50"/>
        <v>0</v>
      </c>
      <c r="U64" s="5"/>
    </row>
    <row r="65" ht="15.75" customHeight="1">
      <c r="A65" s="57" t="s">
        <v>77</v>
      </c>
      <c r="B65" s="58"/>
      <c r="C65" s="59"/>
      <c r="D65" s="60">
        <v>0.0</v>
      </c>
      <c r="E65" s="61"/>
      <c r="F65" s="60">
        <v>0.0</v>
      </c>
      <c r="G65" s="62"/>
      <c r="H65" s="61"/>
      <c r="I65" s="59"/>
      <c r="J65" s="64">
        <v>0.0</v>
      </c>
      <c r="K65" s="64">
        <f t="shared" si="46"/>
        <v>0</v>
      </c>
      <c r="L65" s="64">
        <f t="shared" si="47"/>
        <v>0</v>
      </c>
      <c r="M65" s="65">
        <f t="shared" si="48"/>
        <v>0</v>
      </c>
      <c r="N65" s="28"/>
      <c r="O65" s="90"/>
      <c r="P65" s="25"/>
      <c r="Q65" s="67">
        <f t="shared" si="49"/>
        <v>0</v>
      </c>
      <c r="R65" s="25"/>
      <c r="S65" s="5"/>
      <c r="T65" s="68">
        <f t="shared" si="50"/>
        <v>0</v>
      </c>
      <c r="U65" s="25"/>
    </row>
    <row r="66" ht="15.75" customHeight="1">
      <c r="A66" s="57" t="s">
        <v>78</v>
      </c>
      <c r="B66" s="58"/>
      <c r="C66" s="59"/>
      <c r="D66" s="60">
        <v>0.0</v>
      </c>
      <c r="E66" s="61"/>
      <c r="F66" s="60">
        <v>0.0</v>
      </c>
      <c r="G66" s="62"/>
      <c r="H66" s="61"/>
      <c r="I66" s="59"/>
      <c r="J66" s="64">
        <v>0.0</v>
      </c>
      <c r="K66" s="64">
        <f t="shared" si="46"/>
        <v>0</v>
      </c>
      <c r="L66" s="64">
        <f t="shared" si="47"/>
        <v>0</v>
      </c>
      <c r="M66" s="65">
        <f t="shared" si="48"/>
        <v>0</v>
      </c>
      <c r="N66" s="28"/>
      <c r="O66" s="90"/>
      <c r="P66" s="25"/>
      <c r="Q66" s="67">
        <f t="shared" si="49"/>
        <v>0</v>
      </c>
      <c r="R66" s="25"/>
      <c r="S66" s="5"/>
      <c r="T66" s="68">
        <f t="shared" si="50"/>
        <v>0</v>
      </c>
      <c r="U66" s="25"/>
    </row>
    <row r="67" ht="15.75" customHeight="1">
      <c r="A67" s="93" t="s">
        <v>79</v>
      </c>
      <c r="B67" s="94">
        <f>SUM(B58:B66)</f>
        <v>0</v>
      </c>
      <c r="C67" s="95"/>
      <c r="D67" s="96">
        <f t="shared" ref="D67:F67" si="51">SUM(D58:D66)</f>
        <v>0</v>
      </c>
      <c r="E67" s="96">
        <f t="shared" si="51"/>
        <v>0</v>
      </c>
      <c r="F67" s="96">
        <f t="shared" si="51"/>
        <v>259993</v>
      </c>
      <c r="G67" s="62"/>
      <c r="H67" s="96">
        <f>SUM(H58:H66)</f>
        <v>0</v>
      </c>
      <c r="I67" s="59"/>
      <c r="J67" s="96">
        <f t="shared" ref="J67:L67" si="52">SUM(J58:J66)</f>
        <v>38825</v>
      </c>
      <c r="K67" s="96">
        <f t="shared" si="52"/>
        <v>43332.16667</v>
      </c>
      <c r="L67" s="105">
        <f t="shared" si="52"/>
        <v>-4507.166667</v>
      </c>
      <c r="M67" s="98">
        <f t="shared" si="48"/>
        <v>0.1493309435</v>
      </c>
      <c r="N67" s="28"/>
      <c r="O67" s="99">
        <f>SUM(O58:O66)</f>
        <v>0</v>
      </c>
      <c r="P67" s="25"/>
      <c r="Q67" s="101">
        <f>SUM(Q58:Q66)</f>
        <v>232950</v>
      </c>
      <c r="R67" s="100"/>
      <c r="S67" s="15"/>
      <c r="T67" s="102">
        <f>SUM(T58:T66)</f>
        <v>-27043</v>
      </c>
      <c r="U67" s="106"/>
    </row>
    <row r="68" ht="15.75" customHeight="1">
      <c r="A68" s="57"/>
      <c r="B68" s="59"/>
      <c r="C68" s="59"/>
      <c r="D68" s="87"/>
      <c r="E68" s="59"/>
      <c r="F68" s="59"/>
      <c r="G68" s="62"/>
      <c r="H68" s="87"/>
      <c r="I68" s="59"/>
      <c r="J68" s="87"/>
      <c r="K68" s="87"/>
      <c r="L68" s="87"/>
      <c r="M68" s="70"/>
      <c r="N68" s="28"/>
      <c r="O68" s="88"/>
      <c r="P68" s="25"/>
      <c r="Q68" s="89"/>
      <c r="R68" s="25"/>
      <c r="S68" s="5"/>
      <c r="T68" s="88"/>
      <c r="U68" s="5"/>
    </row>
    <row r="69" ht="15.75" customHeight="1">
      <c r="A69" s="71" t="s">
        <v>80</v>
      </c>
      <c r="B69" s="107">
        <f>B21+B28+B34+B44+B56+B67</f>
        <v>0</v>
      </c>
      <c r="C69" s="108"/>
      <c r="D69" s="73">
        <f t="shared" ref="D69:F69" si="53">D21+D28+D34+D44+D56+D67</f>
        <v>0</v>
      </c>
      <c r="E69" s="73">
        <f t="shared" si="53"/>
        <v>0</v>
      </c>
      <c r="F69" s="73">
        <f t="shared" si="53"/>
        <v>3735967</v>
      </c>
      <c r="G69" s="62"/>
      <c r="H69" s="73">
        <f>H21+H28+H34+H44+H56+H67</f>
        <v>0</v>
      </c>
      <c r="I69" s="59"/>
      <c r="J69" s="73">
        <f t="shared" ref="J69:L69" si="54">J21+J28+J34+J44+J56+J67</f>
        <v>590910</v>
      </c>
      <c r="K69" s="73">
        <f t="shared" si="54"/>
        <v>622661.1667</v>
      </c>
      <c r="L69" s="73">
        <f t="shared" si="54"/>
        <v>-31751.16667</v>
      </c>
      <c r="M69" s="74">
        <f>IF(F69=0,0,J69/F69)</f>
        <v>0.1581678853</v>
      </c>
      <c r="N69" s="28"/>
      <c r="O69" s="73">
        <f>O21+O28+O34+O44+O56+O67</f>
        <v>0</v>
      </c>
      <c r="P69" s="25"/>
      <c r="Q69" s="75">
        <f>Q21+Q28+Q34+Q44+Q56+Q67</f>
        <v>3413184</v>
      </c>
      <c r="R69" s="25"/>
      <c r="S69" s="5"/>
      <c r="T69" s="76">
        <f>T21+T28+T34+T44+T56+T67</f>
        <v>-264741</v>
      </c>
      <c r="U69" s="59"/>
    </row>
    <row r="70" ht="15.75" customHeight="1">
      <c r="A70" s="85" t="s">
        <v>81</v>
      </c>
      <c r="B70" s="109"/>
      <c r="C70" s="59"/>
      <c r="D70" s="87"/>
      <c r="E70" s="59"/>
      <c r="F70" s="59"/>
      <c r="G70" s="62"/>
      <c r="H70" s="87"/>
      <c r="I70" s="59"/>
      <c r="J70" s="87"/>
      <c r="K70" s="87"/>
      <c r="L70" s="87"/>
      <c r="M70" s="88"/>
      <c r="N70" s="28"/>
      <c r="O70" s="88"/>
      <c r="P70" s="25"/>
      <c r="Q70" s="89"/>
      <c r="R70" s="25"/>
      <c r="S70" s="5"/>
      <c r="T70" s="88"/>
      <c r="U70" s="5"/>
    </row>
    <row r="71" ht="15.75" customHeight="1">
      <c r="A71" s="57" t="s">
        <v>82</v>
      </c>
      <c r="B71" s="58"/>
      <c r="C71" s="59"/>
      <c r="D71" s="60">
        <v>0.0</v>
      </c>
      <c r="E71" s="61"/>
      <c r="F71" s="60">
        <v>3054037.0</v>
      </c>
      <c r="G71" s="62"/>
      <c r="H71" s="61"/>
      <c r="I71" s="59"/>
      <c r="J71" s="64">
        <v>1009745.0</v>
      </c>
      <c r="K71" s="64">
        <f t="shared" ref="K71:K74" si="55">IF($F$4&gt;=12,F71,F71/12*$F$4)</f>
        <v>509006.1667</v>
      </c>
      <c r="L71" s="64">
        <f t="shared" ref="L71:L74" si="56">K71-J71</f>
        <v>-500738.8333</v>
      </c>
      <c r="M71" s="65">
        <f t="shared" ref="M71:M74" si="57">IF(F71=0,0,J71/F71)</f>
        <v>0.3306263153</v>
      </c>
      <c r="N71" s="28"/>
      <c r="O71" s="90"/>
      <c r="P71" s="25"/>
      <c r="Q71" s="67">
        <f t="shared" ref="Q71:Q74" si="58">IF(OR($F$4=12,$F$4=13),J71,F71+O71)</f>
        <v>3054037</v>
      </c>
      <c r="R71" s="25"/>
      <c r="S71" s="5"/>
      <c r="T71" s="68">
        <f t="shared" ref="T71:T74" si="59">Q71-F71</f>
        <v>0</v>
      </c>
      <c r="U71" s="77"/>
    </row>
    <row r="72" ht="15.75" customHeight="1">
      <c r="A72" s="57" t="s">
        <v>83</v>
      </c>
      <c r="B72" s="58"/>
      <c r="C72" s="59"/>
      <c r="D72" s="60">
        <v>0.0</v>
      </c>
      <c r="E72" s="61"/>
      <c r="F72" s="60">
        <v>0.0</v>
      </c>
      <c r="G72" s="62"/>
      <c r="H72" s="61"/>
      <c r="I72" s="59"/>
      <c r="J72" s="64">
        <v>0.0</v>
      </c>
      <c r="K72" s="64">
        <f t="shared" si="55"/>
        <v>0</v>
      </c>
      <c r="L72" s="64">
        <f t="shared" si="56"/>
        <v>0</v>
      </c>
      <c r="M72" s="65">
        <f t="shared" si="57"/>
        <v>0</v>
      </c>
      <c r="N72" s="28"/>
      <c r="O72" s="90"/>
      <c r="P72" s="25"/>
      <c r="Q72" s="67">
        <f t="shared" si="58"/>
        <v>0</v>
      </c>
      <c r="R72" s="25"/>
      <c r="S72" s="5"/>
      <c r="T72" s="68">
        <f t="shared" si="59"/>
        <v>0</v>
      </c>
      <c r="U72" s="77"/>
    </row>
    <row r="73" ht="15.75" customHeight="1">
      <c r="A73" s="57" t="s">
        <v>84</v>
      </c>
      <c r="B73" s="58"/>
      <c r="C73" s="59"/>
      <c r="D73" s="60">
        <v>0.0</v>
      </c>
      <c r="E73" s="61"/>
      <c r="F73" s="60">
        <v>195991.0</v>
      </c>
      <c r="G73" s="62"/>
      <c r="H73" s="61"/>
      <c r="I73" s="59"/>
      <c r="J73" s="64">
        <v>0.0</v>
      </c>
      <c r="K73" s="64">
        <f t="shared" si="55"/>
        <v>32665.16667</v>
      </c>
      <c r="L73" s="64">
        <f t="shared" si="56"/>
        <v>32665.16667</v>
      </c>
      <c r="M73" s="65">
        <f t="shared" si="57"/>
        <v>0</v>
      </c>
      <c r="N73" s="28"/>
      <c r="O73" s="90"/>
      <c r="P73" s="25">
        <v>3799500.0</v>
      </c>
      <c r="Q73" s="67">
        <f t="shared" si="58"/>
        <v>195991</v>
      </c>
      <c r="R73" s="25"/>
      <c r="S73" s="5"/>
      <c r="T73" s="68">
        <f t="shared" si="59"/>
        <v>0</v>
      </c>
      <c r="U73" s="77"/>
    </row>
    <row r="74" ht="15.75" customHeight="1">
      <c r="A74" s="57" t="s">
        <v>85</v>
      </c>
      <c r="B74" s="58"/>
      <c r="C74" s="59"/>
      <c r="D74" s="60">
        <v>0.0</v>
      </c>
      <c r="E74" s="61"/>
      <c r="F74" s="60">
        <v>0.0</v>
      </c>
      <c r="G74" s="62"/>
      <c r="H74" s="61"/>
      <c r="I74" s="59"/>
      <c r="J74" s="64">
        <v>0.0</v>
      </c>
      <c r="K74" s="64">
        <f t="shared" si="55"/>
        <v>0</v>
      </c>
      <c r="L74" s="64">
        <f t="shared" si="56"/>
        <v>0</v>
      </c>
      <c r="M74" s="65">
        <f t="shared" si="57"/>
        <v>0</v>
      </c>
      <c r="N74" s="28"/>
      <c r="O74" s="90"/>
      <c r="P74" s="25"/>
      <c r="Q74" s="67">
        <f t="shared" si="58"/>
        <v>0</v>
      </c>
      <c r="R74" s="25"/>
      <c r="S74" s="5"/>
      <c r="T74" s="68">
        <f t="shared" si="59"/>
        <v>0</v>
      </c>
      <c r="U74" s="110"/>
    </row>
    <row r="75" ht="15.75" customHeight="1">
      <c r="A75" s="111" t="s">
        <v>85</v>
      </c>
      <c r="B75" s="94">
        <f>SUM(B71:B74)</f>
        <v>0</v>
      </c>
      <c r="C75" s="59"/>
      <c r="D75" s="112">
        <f t="shared" ref="D75:F75" si="60">SUM(D71:D74)</f>
        <v>0</v>
      </c>
      <c r="E75" s="112">
        <f t="shared" si="60"/>
        <v>0</v>
      </c>
      <c r="F75" s="112">
        <f t="shared" si="60"/>
        <v>3250028</v>
      </c>
      <c r="G75" s="62"/>
      <c r="H75" s="112"/>
      <c r="I75" s="59"/>
      <c r="J75" s="112">
        <f t="shared" ref="J75:L75" si="61">SUM(J71:J74)</f>
        <v>1009745</v>
      </c>
      <c r="K75" s="112">
        <f t="shared" si="61"/>
        <v>541671.3333</v>
      </c>
      <c r="L75" s="112">
        <f t="shared" si="61"/>
        <v>-468073.6667</v>
      </c>
      <c r="M75" s="113"/>
      <c r="N75" s="28"/>
      <c r="O75" s="112">
        <f>SUM(O71:O74)</f>
        <v>0</v>
      </c>
      <c r="P75" s="25"/>
      <c r="Q75" s="112">
        <f>SUM(Q71:Q74)</f>
        <v>3250028</v>
      </c>
      <c r="R75" s="25"/>
      <c r="S75" s="5"/>
      <c r="T75" s="114"/>
      <c r="U75" s="77"/>
    </row>
    <row r="76" ht="15.75" customHeight="1">
      <c r="A76" s="57" t="s">
        <v>86</v>
      </c>
      <c r="B76" s="58"/>
      <c r="C76" s="59"/>
      <c r="D76" s="60">
        <v>0.0</v>
      </c>
      <c r="E76" s="61"/>
      <c r="F76" s="60">
        <v>230860.0</v>
      </c>
      <c r="G76" s="62"/>
      <c r="H76" s="61"/>
      <c r="I76" s="59"/>
      <c r="J76" s="64">
        <v>0.0</v>
      </c>
      <c r="K76" s="64"/>
      <c r="L76" s="64">
        <f>K76-J76</f>
        <v>0</v>
      </c>
      <c r="M76" s="65">
        <f>IF(F76=0,0,J76/F76)</f>
        <v>0</v>
      </c>
      <c r="N76" s="28"/>
      <c r="O76" s="90"/>
      <c r="P76" s="25"/>
      <c r="Q76" s="67">
        <f>IF(OR($F$4=12,$F$4=13),J76,F76+O76)</f>
        <v>230860</v>
      </c>
      <c r="R76" s="25"/>
      <c r="S76" s="5"/>
      <c r="T76" s="68">
        <f>Q76-F76</f>
        <v>0</v>
      </c>
      <c r="U76" s="115"/>
    </row>
    <row r="77" ht="15.75" customHeight="1">
      <c r="A77" s="111" t="s">
        <v>87</v>
      </c>
      <c r="B77" s="94">
        <f>SUM(B76)</f>
        <v>0</v>
      </c>
      <c r="C77" s="59"/>
      <c r="D77" s="112">
        <f t="shared" ref="D77:F77" si="62">SUM(D76)</f>
        <v>0</v>
      </c>
      <c r="E77" s="112">
        <f t="shared" si="62"/>
        <v>0</v>
      </c>
      <c r="F77" s="116">
        <f t="shared" si="62"/>
        <v>230860</v>
      </c>
      <c r="G77" s="62"/>
      <c r="H77" s="112"/>
      <c r="I77" s="59"/>
      <c r="J77" s="112">
        <f t="shared" ref="J77:L77" si="63">SUM(J76)</f>
        <v>0</v>
      </c>
      <c r="K77" s="112">
        <f t="shared" si="63"/>
        <v>0</v>
      </c>
      <c r="L77" s="112">
        <f t="shared" si="63"/>
        <v>0</v>
      </c>
      <c r="M77" s="113"/>
      <c r="N77" s="28"/>
      <c r="O77" s="112">
        <f>SUM(O76)</f>
        <v>0</v>
      </c>
      <c r="P77" s="25"/>
      <c r="Q77" s="117">
        <f>SUM(Q76)</f>
        <v>230860</v>
      </c>
      <c r="R77" s="25"/>
      <c r="S77" s="5"/>
      <c r="T77" s="102"/>
      <c r="U77" s="59"/>
    </row>
    <row r="78" ht="15.75" customHeight="1">
      <c r="A78" s="93" t="s">
        <v>88</v>
      </c>
      <c r="B78" s="96">
        <f>B75+B77</f>
        <v>0</v>
      </c>
      <c r="C78" s="118"/>
      <c r="D78" s="96">
        <f t="shared" ref="D78:F78" si="64">D75+D77</f>
        <v>0</v>
      </c>
      <c r="E78" s="96">
        <f t="shared" si="64"/>
        <v>0</v>
      </c>
      <c r="F78" s="96">
        <f t="shared" si="64"/>
        <v>3480888</v>
      </c>
      <c r="G78" s="62"/>
      <c r="H78" s="96">
        <f>SUM(H71:H77)</f>
        <v>0</v>
      </c>
      <c r="I78" s="59"/>
      <c r="J78" s="96">
        <f t="shared" ref="J78:L78" si="65">J75+J77</f>
        <v>1009745</v>
      </c>
      <c r="K78" s="96">
        <f t="shared" si="65"/>
        <v>541671.3333</v>
      </c>
      <c r="L78" s="96">
        <f t="shared" si="65"/>
        <v>-468073.6667</v>
      </c>
      <c r="M78" s="98"/>
      <c r="N78" s="28"/>
      <c r="O78" s="96">
        <f>O75+O77</f>
        <v>0</v>
      </c>
      <c r="P78" s="25"/>
      <c r="Q78" s="101">
        <f>Q75+Q77</f>
        <v>3480888</v>
      </c>
      <c r="R78" s="100"/>
      <c r="S78" s="15"/>
      <c r="T78" s="102">
        <f>SUM(T71:T77)</f>
        <v>0</v>
      </c>
      <c r="U78" s="119"/>
    </row>
    <row r="79" ht="15.75" customHeight="1">
      <c r="A79" s="57"/>
      <c r="B79" s="59"/>
      <c r="C79" s="59"/>
      <c r="D79" s="87"/>
      <c r="E79" s="59"/>
      <c r="F79" s="59"/>
      <c r="G79" s="62"/>
      <c r="H79" s="87"/>
      <c r="I79" s="59"/>
      <c r="J79" s="87"/>
      <c r="K79" s="87"/>
      <c r="L79" s="87"/>
      <c r="M79" s="70"/>
      <c r="N79" s="28"/>
      <c r="O79" s="88"/>
      <c r="P79" s="25"/>
      <c r="Q79" s="89"/>
      <c r="R79" s="25"/>
      <c r="S79" s="5"/>
      <c r="T79" s="88"/>
      <c r="U79" s="25"/>
    </row>
    <row r="80" ht="15.75" customHeight="1">
      <c r="A80" s="57" t="s">
        <v>89</v>
      </c>
      <c r="B80" s="58"/>
      <c r="C80" s="59"/>
      <c r="D80" s="60">
        <v>0.0</v>
      </c>
      <c r="E80" s="61"/>
      <c r="F80" s="60">
        <v>78465.0</v>
      </c>
      <c r="G80" s="62"/>
      <c r="H80" s="61"/>
      <c r="I80" s="59"/>
      <c r="J80" s="64">
        <v>9695.0</v>
      </c>
      <c r="K80" s="64">
        <f t="shared" ref="K80:K91" si="66">IF($F$4&gt;=12,F80,F80/12*$F$4)</f>
        <v>13077.5</v>
      </c>
      <c r="L80" s="64">
        <f t="shared" ref="L80:L91" si="67">K80-J80</f>
        <v>3382.5</v>
      </c>
      <c r="M80" s="65">
        <f t="shared" ref="M80:M92" si="68">IF(F80=0,0,J80/F80)</f>
        <v>0.1235582744</v>
      </c>
      <c r="N80" s="28"/>
      <c r="O80" s="90"/>
      <c r="P80" s="25"/>
      <c r="Q80" s="67">
        <f t="shared" ref="Q80:Q91" si="69">IF(OR($F$4 = 12,$F$4 = 13),J80,(J80/$F$4)*12+O80)</f>
        <v>58170</v>
      </c>
      <c r="R80" s="25"/>
      <c r="S80" s="5"/>
      <c r="T80" s="68">
        <f t="shared" ref="T80:T91" si="70">Q80-F80</f>
        <v>-20295</v>
      </c>
      <c r="U80" s="5"/>
    </row>
    <row r="81" ht="15.75" customHeight="1">
      <c r="A81" s="57" t="s">
        <v>90</v>
      </c>
      <c r="B81" s="58"/>
      <c r="C81" s="59"/>
      <c r="D81" s="60">
        <v>0.0</v>
      </c>
      <c r="E81" s="61"/>
      <c r="F81" s="60">
        <v>65000.0</v>
      </c>
      <c r="G81" s="62"/>
      <c r="H81" s="61"/>
      <c r="I81" s="59"/>
      <c r="J81" s="64">
        <v>19034.0</v>
      </c>
      <c r="K81" s="64">
        <f t="shared" si="66"/>
        <v>10833.33333</v>
      </c>
      <c r="L81" s="64">
        <f t="shared" si="67"/>
        <v>-8200.666667</v>
      </c>
      <c r="M81" s="65">
        <f t="shared" si="68"/>
        <v>0.2928307692</v>
      </c>
      <c r="N81" s="28"/>
      <c r="O81" s="90"/>
      <c r="P81" s="25"/>
      <c r="Q81" s="67">
        <f t="shared" si="69"/>
        <v>114204</v>
      </c>
      <c r="R81" s="25"/>
      <c r="S81" s="5"/>
      <c r="T81" s="68">
        <f t="shared" si="70"/>
        <v>49204</v>
      </c>
      <c r="U81" s="25"/>
    </row>
    <row r="82" ht="15.75" customHeight="1">
      <c r="A82" s="57" t="s">
        <v>91</v>
      </c>
      <c r="B82" s="58"/>
      <c r="C82" s="59"/>
      <c r="D82" s="60">
        <v>0.0</v>
      </c>
      <c r="E82" s="61"/>
      <c r="F82" s="60">
        <v>16750.0</v>
      </c>
      <c r="G82" s="62"/>
      <c r="H82" s="61"/>
      <c r="I82" s="59"/>
      <c r="J82" s="64">
        <v>600.0</v>
      </c>
      <c r="K82" s="64">
        <f t="shared" si="66"/>
        <v>2791.666667</v>
      </c>
      <c r="L82" s="64">
        <f t="shared" si="67"/>
        <v>2191.666667</v>
      </c>
      <c r="M82" s="65">
        <f t="shared" si="68"/>
        <v>0.03582089552</v>
      </c>
      <c r="N82" s="28"/>
      <c r="O82" s="90"/>
      <c r="P82" s="25"/>
      <c r="Q82" s="67">
        <f t="shared" si="69"/>
        <v>3600</v>
      </c>
      <c r="R82" s="25"/>
      <c r="S82" s="5"/>
      <c r="T82" s="68">
        <f t="shared" si="70"/>
        <v>-13150</v>
      </c>
      <c r="U82" s="5"/>
    </row>
    <row r="83" ht="15.75" customHeight="1">
      <c r="A83" s="57" t="s">
        <v>92</v>
      </c>
      <c r="B83" s="58"/>
      <c r="C83" s="59"/>
      <c r="D83" s="60">
        <v>0.0</v>
      </c>
      <c r="E83" s="61"/>
      <c r="F83" s="60">
        <v>27000.0</v>
      </c>
      <c r="G83" s="62"/>
      <c r="H83" s="61"/>
      <c r="I83" s="59"/>
      <c r="J83" s="64">
        <v>11364.0</v>
      </c>
      <c r="K83" s="64">
        <f t="shared" si="66"/>
        <v>4500</v>
      </c>
      <c r="L83" s="64">
        <f t="shared" si="67"/>
        <v>-6864</v>
      </c>
      <c r="M83" s="65">
        <f t="shared" si="68"/>
        <v>0.4208888889</v>
      </c>
      <c r="N83" s="28"/>
      <c r="O83" s="90"/>
      <c r="P83" s="25"/>
      <c r="Q83" s="67">
        <f t="shared" si="69"/>
        <v>68184</v>
      </c>
      <c r="R83" s="25"/>
      <c r="S83" s="5"/>
      <c r="T83" s="68">
        <f t="shared" si="70"/>
        <v>41184</v>
      </c>
      <c r="U83" s="5"/>
    </row>
    <row r="84" ht="15.75" customHeight="1">
      <c r="A84" s="57" t="s">
        <v>93</v>
      </c>
      <c r="B84" s="58"/>
      <c r="C84" s="59"/>
      <c r="D84" s="60">
        <v>0.0</v>
      </c>
      <c r="E84" s="61"/>
      <c r="F84" s="60">
        <v>8000.0</v>
      </c>
      <c r="G84" s="62"/>
      <c r="H84" s="61"/>
      <c r="I84" s="59"/>
      <c r="J84" s="64">
        <v>997.0</v>
      </c>
      <c r="K84" s="64">
        <f t="shared" si="66"/>
        <v>1333.333333</v>
      </c>
      <c r="L84" s="64">
        <f t="shared" si="67"/>
        <v>336.3333333</v>
      </c>
      <c r="M84" s="65">
        <f t="shared" si="68"/>
        <v>0.124625</v>
      </c>
      <c r="N84" s="28"/>
      <c r="O84" s="90"/>
      <c r="P84" s="25"/>
      <c r="Q84" s="67">
        <f t="shared" si="69"/>
        <v>5982</v>
      </c>
      <c r="R84" s="25"/>
      <c r="S84" s="5"/>
      <c r="T84" s="68">
        <f t="shared" si="70"/>
        <v>-2018</v>
      </c>
      <c r="U84" s="5"/>
    </row>
    <row r="85" ht="15.75" customHeight="1">
      <c r="A85" s="57" t="s">
        <v>94</v>
      </c>
      <c r="B85" s="58"/>
      <c r="C85" s="59"/>
      <c r="D85" s="60">
        <v>0.0</v>
      </c>
      <c r="E85" s="61"/>
      <c r="F85" s="60">
        <v>0.0</v>
      </c>
      <c r="G85" s="62"/>
      <c r="H85" s="61"/>
      <c r="I85" s="59"/>
      <c r="J85" s="64">
        <v>0.0</v>
      </c>
      <c r="K85" s="64">
        <f t="shared" si="66"/>
        <v>0</v>
      </c>
      <c r="L85" s="64">
        <f t="shared" si="67"/>
        <v>0</v>
      </c>
      <c r="M85" s="65">
        <f t="shared" si="68"/>
        <v>0</v>
      </c>
      <c r="N85" s="28"/>
      <c r="O85" s="90"/>
      <c r="P85" s="25"/>
      <c r="Q85" s="67">
        <f t="shared" si="69"/>
        <v>0</v>
      </c>
      <c r="R85" s="25"/>
      <c r="S85" s="5"/>
      <c r="T85" s="68">
        <f t="shared" si="70"/>
        <v>0</v>
      </c>
      <c r="U85" s="5"/>
    </row>
    <row r="86" ht="15.75" customHeight="1">
      <c r="A86" s="57" t="s">
        <v>95</v>
      </c>
      <c r="B86" s="58"/>
      <c r="C86" s="59"/>
      <c r="D86" s="60">
        <v>0.0</v>
      </c>
      <c r="E86" s="61"/>
      <c r="F86" s="60">
        <v>0.0</v>
      </c>
      <c r="G86" s="62"/>
      <c r="H86" s="61"/>
      <c r="I86" s="59"/>
      <c r="J86" s="64">
        <v>0.0</v>
      </c>
      <c r="K86" s="64">
        <f t="shared" si="66"/>
        <v>0</v>
      </c>
      <c r="L86" s="64">
        <f t="shared" si="67"/>
        <v>0</v>
      </c>
      <c r="M86" s="65">
        <f t="shared" si="68"/>
        <v>0</v>
      </c>
      <c r="N86" s="28"/>
      <c r="O86" s="90"/>
      <c r="P86" s="25"/>
      <c r="Q86" s="67">
        <f t="shared" si="69"/>
        <v>0</v>
      </c>
      <c r="R86" s="25"/>
      <c r="S86" s="5"/>
      <c r="T86" s="68">
        <f t="shared" si="70"/>
        <v>0</v>
      </c>
      <c r="U86" s="5"/>
    </row>
    <row r="87" ht="15.75" customHeight="1">
      <c r="A87" s="57" t="s">
        <v>96</v>
      </c>
      <c r="B87" s="58"/>
      <c r="C87" s="59"/>
      <c r="D87" s="60">
        <v>0.0</v>
      </c>
      <c r="E87" s="61"/>
      <c r="F87" s="60">
        <v>34000.0</v>
      </c>
      <c r="G87" s="62"/>
      <c r="H87" s="61"/>
      <c r="I87" s="59"/>
      <c r="J87" s="64">
        <v>9682.0</v>
      </c>
      <c r="K87" s="64">
        <f t="shared" si="66"/>
        <v>5666.666667</v>
      </c>
      <c r="L87" s="64">
        <f t="shared" si="67"/>
        <v>-4015.333333</v>
      </c>
      <c r="M87" s="65">
        <f t="shared" si="68"/>
        <v>0.2847647059</v>
      </c>
      <c r="N87" s="28"/>
      <c r="O87" s="90"/>
      <c r="P87" s="25"/>
      <c r="Q87" s="67">
        <f t="shared" si="69"/>
        <v>58092</v>
      </c>
      <c r="R87" s="25"/>
      <c r="S87" s="5"/>
      <c r="T87" s="68">
        <f t="shared" si="70"/>
        <v>24092</v>
      </c>
      <c r="U87" s="5"/>
    </row>
    <row r="88" ht="15.75" customHeight="1">
      <c r="A88" s="57" t="s">
        <v>97</v>
      </c>
      <c r="B88" s="58"/>
      <c r="C88" s="59"/>
      <c r="D88" s="60">
        <v>0.0</v>
      </c>
      <c r="E88" s="61"/>
      <c r="F88" s="60">
        <v>28808.0</v>
      </c>
      <c r="G88" s="62"/>
      <c r="H88" s="61"/>
      <c r="I88" s="59"/>
      <c r="J88" s="64">
        <v>3200.0</v>
      </c>
      <c r="K88" s="64">
        <f t="shared" si="66"/>
        <v>4801.333333</v>
      </c>
      <c r="L88" s="64">
        <f t="shared" si="67"/>
        <v>1601.333333</v>
      </c>
      <c r="M88" s="65">
        <f t="shared" si="68"/>
        <v>0.1110802555</v>
      </c>
      <c r="N88" s="28"/>
      <c r="O88" s="90"/>
      <c r="P88" s="25"/>
      <c r="Q88" s="67">
        <f t="shared" si="69"/>
        <v>19200</v>
      </c>
      <c r="R88" s="25"/>
      <c r="S88" s="5"/>
      <c r="T88" s="68">
        <f t="shared" si="70"/>
        <v>-9608</v>
      </c>
      <c r="U88" s="5"/>
    </row>
    <row r="89" ht="15.75" customHeight="1">
      <c r="A89" s="57" t="s">
        <v>98</v>
      </c>
      <c r="B89" s="58"/>
      <c r="C89" s="59"/>
      <c r="D89" s="60">
        <v>0.0</v>
      </c>
      <c r="E89" s="61"/>
      <c r="F89" s="60">
        <v>0.0</v>
      </c>
      <c r="G89" s="62"/>
      <c r="H89" s="61"/>
      <c r="I89" s="59"/>
      <c r="J89" s="64">
        <v>0.0</v>
      </c>
      <c r="K89" s="64">
        <f t="shared" si="66"/>
        <v>0</v>
      </c>
      <c r="L89" s="64">
        <f t="shared" si="67"/>
        <v>0</v>
      </c>
      <c r="M89" s="65">
        <f t="shared" si="68"/>
        <v>0</v>
      </c>
      <c r="N89" s="28"/>
      <c r="O89" s="90"/>
      <c r="P89" s="25"/>
      <c r="Q89" s="67">
        <f t="shared" si="69"/>
        <v>0</v>
      </c>
      <c r="R89" s="25"/>
      <c r="S89" s="5"/>
      <c r="T89" s="68">
        <f t="shared" si="70"/>
        <v>0</v>
      </c>
      <c r="U89" s="5"/>
    </row>
    <row r="90" ht="15.75" customHeight="1">
      <c r="A90" s="57" t="s">
        <v>99</v>
      </c>
      <c r="B90" s="58"/>
      <c r="C90" s="59"/>
      <c r="D90" s="60">
        <v>0.0</v>
      </c>
      <c r="E90" s="61"/>
      <c r="F90" s="60">
        <v>0.0</v>
      </c>
      <c r="G90" s="62"/>
      <c r="H90" s="61"/>
      <c r="I90" s="59"/>
      <c r="J90" s="64">
        <v>0.0</v>
      </c>
      <c r="K90" s="64">
        <f t="shared" si="66"/>
        <v>0</v>
      </c>
      <c r="L90" s="64">
        <f t="shared" si="67"/>
        <v>0</v>
      </c>
      <c r="M90" s="65">
        <f t="shared" si="68"/>
        <v>0</v>
      </c>
      <c r="N90" s="28"/>
      <c r="O90" s="90"/>
      <c r="P90" s="25"/>
      <c r="Q90" s="67">
        <f t="shared" si="69"/>
        <v>0</v>
      </c>
      <c r="R90" s="25"/>
      <c r="S90" s="5"/>
      <c r="T90" s="68">
        <f t="shared" si="70"/>
        <v>0</v>
      </c>
      <c r="U90" s="25"/>
    </row>
    <row r="91" ht="15.75" customHeight="1">
      <c r="A91" s="57" t="s">
        <v>100</v>
      </c>
      <c r="B91" s="58"/>
      <c r="C91" s="59"/>
      <c r="D91" s="60">
        <v>0.0</v>
      </c>
      <c r="E91" s="61"/>
      <c r="F91" s="60">
        <v>0.0</v>
      </c>
      <c r="G91" s="62"/>
      <c r="H91" s="61"/>
      <c r="I91" s="59"/>
      <c r="J91" s="64">
        <v>0.0</v>
      </c>
      <c r="K91" s="64">
        <f t="shared" si="66"/>
        <v>0</v>
      </c>
      <c r="L91" s="64">
        <f t="shared" si="67"/>
        <v>0</v>
      </c>
      <c r="M91" s="65">
        <f t="shared" si="68"/>
        <v>0</v>
      </c>
      <c r="N91" s="28"/>
      <c r="O91" s="90"/>
      <c r="P91" s="25"/>
      <c r="Q91" s="67">
        <f t="shared" si="69"/>
        <v>0</v>
      </c>
      <c r="R91" s="25"/>
      <c r="S91" s="5"/>
      <c r="T91" s="68">
        <f t="shared" si="70"/>
        <v>0</v>
      </c>
      <c r="U91" s="25"/>
    </row>
    <row r="92" ht="15.75" customHeight="1">
      <c r="A92" s="93" t="s">
        <v>101</v>
      </c>
      <c r="B92" s="94">
        <f>SUM(B80:B91)</f>
        <v>0</v>
      </c>
      <c r="C92" s="95"/>
      <c r="D92" s="96">
        <f t="shared" ref="D92:F92" si="71">SUM(D80:D91)</f>
        <v>0</v>
      </c>
      <c r="E92" s="96">
        <f t="shared" si="71"/>
        <v>0</v>
      </c>
      <c r="F92" s="96">
        <f t="shared" si="71"/>
        <v>258023</v>
      </c>
      <c r="G92" s="62"/>
      <c r="H92" s="96">
        <f>SUM(H80:H91)</f>
        <v>0</v>
      </c>
      <c r="I92" s="59"/>
      <c r="J92" s="96">
        <f t="shared" ref="J92:L92" si="72">SUM(J80:J91)</f>
        <v>54572</v>
      </c>
      <c r="K92" s="96">
        <f t="shared" si="72"/>
        <v>43003.83333</v>
      </c>
      <c r="L92" s="92">
        <f t="shared" si="72"/>
        <v>-11568.16667</v>
      </c>
      <c r="M92" s="98">
        <f t="shared" si="68"/>
        <v>0.2115005251</v>
      </c>
      <c r="N92" s="28"/>
      <c r="O92" s="99">
        <f>SUM(O80:O91)</f>
        <v>0</v>
      </c>
      <c r="P92" s="25"/>
      <c r="Q92" s="101">
        <f>SUM(Q80:Q91)</f>
        <v>327432</v>
      </c>
      <c r="R92" s="100"/>
      <c r="S92" s="15"/>
      <c r="T92" s="102">
        <f>SUM(T80:T91)</f>
        <v>69409</v>
      </c>
      <c r="U92" s="95"/>
    </row>
    <row r="93" ht="15.75" customHeight="1">
      <c r="A93" s="57"/>
      <c r="B93" s="59"/>
      <c r="C93" s="59"/>
      <c r="D93" s="87"/>
      <c r="E93" s="59"/>
      <c r="F93" s="59"/>
      <c r="G93" s="62"/>
      <c r="H93" s="87"/>
      <c r="I93" s="59"/>
      <c r="J93" s="87"/>
      <c r="K93" s="87"/>
      <c r="L93" s="87"/>
      <c r="M93" s="70"/>
      <c r="N93" s="28"/>
      <c r="O93" s="88"/>
      <c r="P93" s="25"/>
      <c r="Q93" s="89"/>
      <c r="R93" s="25"/>
      <c r="S93" s="5"/>
      <c r="T93" s="88"/>
      <c r="U93" s="5"/>
    </row>
    <row r="94" ht="15.75" customHeight="1">
      <c r="A94" s="71" t="s">
        <v>102</v>
      </c>
      <c r="B94" s="107">
        <f>B75+B77+B92</f>
        <v>0</v>
      </c>
      <c r="C94" s="108"/>
      <c r="D94" s="73">
        <f>D75+D77+D92</f>
        <v>0</v>
      </c>
      <c r="E94" s="73">
        <f t="shared" ref="E94:F94" si="73">E78+E92</f>
        <v>0</v>
      </c>
      <c r="F94" s="73">
        <f t="shared" si="73"/>
        <v>3738911</v>
      </c>
      <c r="G94" s="62"/>
      <c r="H94" s="73">
        <f>H78+H92</f>
        <v>0</v>
      </c>
      <c r="I94" s="59"/>
      <c r="J94" s="73">
        <f t="shared" ref="J94:L94" si="74">J78+J92</f>
        <v>1064317</v>
      </c>
      <c r="K94" s="73">
        <f t="shared" si="74"/>
        <v>584675.1667</v>
      </c>
      <c r="L94" s="92">
        <f t="shared" si="74"/>
        <v>-479641.8333</v>
      </c>
      <c r="M94" s="74">
        <f>IF(F94=0,0,J94/F94)</f>
        <v>0.2846596242</v>
      </c>
      <c r="N94" s="28"/>
      <c r="O94" s="120">
        <f>O78+O92</f>
        <v>0</v>
      </c>
      <c r="P94" s="25"/>
      <c r="Q94" s="75">
        <f>Q78+Q92</f>
        <v>3808320</v>
      </c>
      <c r="R94" s="25"/>
      <c r="S94" s="5"/>
      <c r="T94" s="76">
        <f>T78+T92</f>
        <v>69409</v>
      </c>
      <c r="U94" s="91"/>
    </row>
    <row r="95" ht="15.75" customHeight="1">
      <c r="A95" s="27"/>
      <c r="B95" s="121"/>
      <c r="C95" s="62"/>
      <c r="D95" s="59"/>
      <c r="E95" s="59"/>
      <c r="F95" s="59"/>
      <c r="G95" s="62"/>
      <c r="H95" s="122"/>
      <c r="I95" s="59"/>
      <c r="J95" s="59"/>
      <c r="K95" s="59"/>
      <c r="L95" s="59"/>
      <c r="M95" s="5"/>
      <c r="N95" s="28"/>
      <c r="O95" s="29"/>
      <c r="P95" s="25"/>
      <c r="Q95" s="123"/>
      <c r="R95" s="25"/>
      <c r="S95" s="5"/>
      <c r="T95" s="5"/>
      <c r="U95" s="5"/>
    </row>
    <row r="96" ht="15.75" customHeight="1">
      <c r="A96" s="124" t="s">
        <v>103</v>
      </c>
      <c r="B96" s="72">
        <f>B94-B69</f>
        <v>0</v>
      </c>
      <c r="C96" s="62"/>
      <c r="D96" s="125">
        <f t="shared" ref="D96:F96" si="75">D94-D69</f>
        <v>0</v>
      </c>
      <c r="E96" s="125">
        <f t="shared" si="75"/>
        <v>0</v>
      </c>
      <c r="F96" s="125">
        <f t="shared" si="75"/>
        <v>2944</v>
      </c>
      <c r="G96" s="62"/>
      <c r="H96" s="125">
        <f>H94-H69</f>
        <v>0</v>
      </c>
      <c r="I96" s="59"/>
      <c r="J96" s="125">
        <f t="shared" ref="J96:L96" si="76">J94-J69</f>
        <v>473407</v>
      </c>
      <c r="K96" s="125">
        <f t="shared" si="76"/>
        <v>-37986</v>
      </c>
      <c r="L96" s="92">
        <f t="shared" si="76"/>
        <v>-447890.6667</v>
      </c>
      <c r="M96" s="74">
        <f>IF(F96=0,0,J96/F96)</f>
        <v>160.8040082</v>
      </c>
      <c r="N96" s="28"/>
      <c r="O96" s="120">
        <f>O80+O94</f>
        <v>0</v>
      </c>
      <c r="P96" s="25"/>
      <c r="Q96" s="126">
        <f>Q94-Q69</f>
        <v>395136</v>
      </c>
      <c r="R96" s="25"/>
      <c r="S96" s="5"/>
      <c r="T96" s="76">
        <f>Q96-F96</f>
        <v>392192</v>
      </c>
      <c r="U96" s="25"/>
    </row>
    <row r="97" ht="15.75" customHeight="1">
      <c r="A97" s="27"/>
      <c r="B97" s="121"/>
      <c r="C97" s="62"/>
      <c r="D97" s="59"/>
      <c r="E97" s="59"/>
      <c r="F97" s="59"/>
      <c r="G97" s="62"/>
      <c r="H97" s="122"/>
      <c r="I97" s="59"/>
      <c r="J97" s="59"/>
      <c r="K97" s="59"/>
      <c r="L97" s="59"/>
      <c r="M97" s="5"/>
      <c r="N97" s="28"/>
      <c r="O97" s="29"/>
      <c r="P97" s="25"/>
      <c r="Q97" s="123"/>
      <c r="R97" s="25"/>
      <c r="S97" s="5"/>
      <c r="T97" s="5"/>
      <c r="U97" s="5"/>
    </row>
    <row r="98" ht="15.75" customHeight="1">
      <c r="A98" s="42" t="s">
        <v>104</v>
      </c>
      <c r="B98" s="53"/>
      <c r="C98" s="79"/>
      <c r="D98" s="54"/>
      <c r="E98" s="55"/>
      <c r="F98" s="48"/>
      <c r="G98" s="62"/>
      <c r="H98" s="48"/>
      <c r="I98" s="59"/>
      <c r="J98" s="48"/>
      <c r="K98" s="55"/>
      <c r="L98" s="55"/>
      <c r="M98" s="48"/>
      <c r="N98" s="28"/>
      <c r="O98" s="48"/>
      <c r="P98" s="25"/>
      <c r="Q98" s="127"/>
      <c r="R98" s="50"/>
      <c r="S98" s="51"/>
      <c r="T98" s="48"/>
      <c r="U98" s="5"/>
    </row>
    <row r="99" ht="15.75" customHeight="1">
      <c r="A99" s="57" t="s">
        <v>105</v>
      </c>
      <c r="B99" s="58">
        <f>SUM(B9+B10+B94-B90-B91)-SUM(B69-B65-B66)</f>
        <v>0</v>
      </c>
      <c r="C99" s="59"/>
      <c r="D99" s="60">
        <v>0.0</v>
      </c>
      <c r="E99" s="61"/>
      <c r="F99" s="60">
        <f>SUM(F9+F10+F94-F90-F91)-SUM(F69-F65-F66)</f>
        <v>2944</v>
      </c>
      <c r="G99" s="62"/>
      <c r="H99" s="63"/>
      <c r="I99" s="59"/>
      <c r="J99" s="64">
        <f>J96+J9+J10-J100-J101+J14</f>
        <v>473407</v>
      </c>
      <c r="K99" s="64">
        <f>K96+K9+K10-K100-K101</f>
        <v>-37986</v>
      </c>
      <c r="L99" s="64">
        <f t="shared" ref="L99:L101" si="77">K99-J99</f>
        <v>-511393</v>
      </c>
      <c r="M99" s="65">
        <f t="shared" ref="M99:M101" si="78">IF(F99=0,0,J99/F99)</f>
        <v>160.8040082</v>
      </c>
      <c r="N99" s="28"/>
      <c r="O99" s="66"/>
      <c r="P99" s="25"/>
      <c r="Q99" s="67">
        <f>Q96+Q9+Q10-Q100-Q101+Q14</f>
        <v>395136</v>
      </c>
      <c r="R99" s="25"/>
      <c r="S99" s="5"/>
      <c r="T99" s="68">
        <f>T96-T101</f>
        <v>392192</v>
      </c>
      <c r="U99" s="5"/>
    </row>
    <row r="100" ht="15.75" customHeight="1">
      <c r="A100" s="57" t="s">
        <v>106</v>
      </c>
      <c r="B100" s="58">
        <v>0.0</v>
      </c>
      <c r="C100" s="59"/>
      <c r="D100" s="60">
        <v>0.0</v>
      </c>
      <c r="E100" s="61"/>
      <c r="F100" s="60">
        <v>0.0</v>
      </c>
      <c r="G100" s="62"/>
      <c r="H100" s="63"/>
      <c r="I100" s="59"/>
      <c r="J100" s="64"/>
      <c r="K100" s="64">
        <f>F100</f>
        <v>0</v>
      </c>
      <c r="L100" s="64">
        <f t="shared" si="77"/>
        <v>0</v>
      </c>
      <c r="M100" s="65">
        <f t="shared" si="78"/>
        <v>0</v>
      </c>
      <c r="N100" s="28"/>
      <c r="O100" s="66"/>
      <c r="P100" s="25"/>
      <c r="Q100" s="67">
        <f>F100</f>
        <v>0</v>
      </c>
      <c r="R100" s="25"/>
      <c r="S100" s="5"/>
      <c r="T100" s="68" t="str">
        <f>I100</f>
        <v/>
      </c>
      <c r="U100" s="5"/>
    </row>
    <row r="101" ht="15.75" customHeight="1">
      <c r="A101" s="57" t="s">
        <v>107</v>
      </c>
      <c r="B101" s="58">
        <f>B14-B65-B66+B90+B91</f>
        <v>0</v>
      </c>
      <c r="C101" s="59"/>
      <c r="D101" s="60">
        <v>0.0</v>
      </c>
      <c r="E101" s="61"/>
      <c r="F101" s="60">
        <f>F14-F65-F66+F90+F91</f>
        <v>0</v>
      </c>
      <c r="G101" s="62"/>
      <c r="H101" s="63"/>
      <c r="I101" s="59"/>
      <c r="J101" s="64">
        <f t="shared" ref="J101:K101" si="79">J14-J65-J66+J90+J91</f>
        <v>0</v>
      </c>
      <c r="K101" s="64">
        <f t="shared" si="79"/>
        <v>0</v>
      </c>
      <c r="L101" s="64">
        <f t="shared" si="77"/>
        <v>0</v>
      </c>
      <c r="M101" s="65">
        <f t="shared" si="78"/>
        <v>0</v>
      </c>
      <c r="N101" s="28"/>
      <c r="O101" s="66"/>
      <c r="P101" s="25"/>
      <c r="Q101" s="67">
        <f>Q14-Q65-Q66+Q90+Q91</f>
        <v>0</v>
      </c>
      <c r="R101" s="25"/>
      <c r="S101" s="5"/>
      <c r="T101" s="68">
        <f>T14-T65-T66+T90</f>
        <v>0</v>
      </c>
      <c r="U101" s="5"/>
    </row>
    <row r="102" ht="15.75" customHeight="1">
      <c r="A102" s="71" t="s">
        <v>108</v>
      </c>
      <c r="B102" s="72">
        <f>SUM(B99:B101)</f>
        <v>0</v>
      </c>
      <c r="C102" s="59"/>
      <c r="D102" s="73">
        <f t="shared" ref="D102:F102" si="80">SUM(D99:D101)</f>
        <v>0</v>
      </c>
      <c r="E102" s="73">
        <f t="shared" si="80"/>
        <v>0</v>
      </c>
      <c r="F102" s="73">
        <f t="shared" si="80"/>
        <v>2944</v>
      </c>
      <c r="G102" s="62"/>
      <c r="H102" s="73">
        <f>SUM(H99:H101)</f>
        <v>0</v>
      </c>
      <c r="I102" s="59"/>
      <c r="J102" s="73">
        <f t="shared" ref="J102:L102" si="81">SUM(J99:J101)</f>
        <v>473407</v>
      </c>
      <c r="K102" s="73">
        <f t="shared" si="81"/>
        <v>-37986</v>
      </c>
      <c r="L102" s="73">
        <f t="shared" si="81"/>
        <v>-511393</v>
      </c>
      <c r="M102" s="74"/>
      <c r="N102" s="28"/>
      <c r="O102" s="120">
        <f>SUM(O99:O101)</f>
        <v>0</v>
      </c>
      <c r="P102" s="25"/>
      <c r="Q102" s="75">
        <f>SUM(Q99:Q101)</f>
        <v>395136</v>
      </c>
      <c r="R102" s="25"/>
      <c r="S102" s="5"/>
      <c r="T102" s="76">
        <f>SUM(T99:T101)</f>
        <v>392192</v>
      </c>
      <c r="U102" s="5"/>
    </row>
    <row r="103" ht="15.75" customHeight="1">
      <c r="A103" s="5"/>
      <c r="B103" s="59"/>
      <c r="C103" s="59"/>
      <c r="D103" s="128"/>
      <c r="E103" s="59"/>
      <c r="F103" s="59"/>
      <c r="G103" s="62"/>
      <c r="H103" s="128"/>
      <c r="I103" s="59"/>
      <c r="J103" s="128"/>
      <c r="K103" s="128"/>
      <c r="L103" s="128"/>
      <c r="M103" s="129"/>
      <c r="N103" s="28"/>
      <c r="O103" s="129"/>
      <c r="P103" s="25"/>
      <c r="Q103" s="130"/>
      <c r="R103" s="25"/>
      <c r="S103" s="5"/>
      <c r="T103" s="129"/>
      <c r="U103" s="5"/>
    </row>
    <row r="104" ht="15.75" customHeight="1">
      <c r="A104" s="71" t="s">
        <v>109</v>
      </c>
      <c r="B104" s="107">
        <f>B102</f>
        <v>0</v>
      </c>
      <c r="C104" s="108"/>
      <c r="D104" s="73">
        <f>D94-D69+D102</f>
        <v>0</v>
      </c>
      <c r="E104" s="73">
        <f t="shared" ref="E104:F104" si="82">E102</f>
        <v>0</v>
      </c>
      <c r="F104" s="73">
        <f t="shared" si="82"/>
        <v>2944</v>
      </c>
      <c r="G104" s="62"/>
      <c r="H104" s="73">
        <f>H94+H102-H69</f>
        <v>0</v>
      </c>
      <c r="I104" s="59"/>
      <c r="J104" s="73">
        <f t="shared" ref="J104:K104" si="83">J102</f>
        <v>473407</v>
      </c>
      <c r="K104" s="73">
        <f t="shared" si="83"/>
        <v>-37986</v>
      </c>
      <c r="L104" s="92">
        <f>K104-J104</f>
        <v>-511393</v>
      </c>
      <c r="M104" s="74"/>
      <c r="N104" s="28"/>
      <c r="O104" s="120">
        <f>O94+O102-O69</f>
        <v>0</v>
      </c>
      <c r="P104" s="25"/>
      <c r="Q104" s="75">
        <f>Q102</f>
        <v>395136</v>
      </c>
      <c r="R104" s="25"/>
      <c r="S104" s="5"/>
      <c r="T104" s="76">
        <f>T102</f>
        <v>392192</v>
      </c>
      <c r="U104" s="25"/>
    </row>
    <row r="105" ht="15.75" customHeight="1">
      <c r="A105" s="5"/>
      <c r="B105" s="59"/>
      <c r="C105" s="59"/>
      <c r="D105" s="59"/>
      <c r="E105" s="59"/>
      <c r="F105" s="59"/>
      <c r="G105" s="62"/>
      <c r="H105" s="59"/>
      <c r="I105" s="59"/>
      <c r="J105" s="59"/>
      <c r="K105" s="59"/>
      <c r="L105" s="59"/>
      <c r="M105" s="25"/>
      <c r="N105" s="28"/>
      <c r="O105" s="25"/>
      <c r="P105" s="25"/>
      <c r="Q105" s="131"/>
      <c r="R105" s="25"/>
      <c r="S105" s="5"/>
      <c r="T105" s="25"/>
      <c r="U105" s="5"/>
    </row>
    <row r="106" ht="15.75" customHeight="1">
      <c r="A106" s="132" t="s">
        <v>110</v>
      </c>
      <c r="B106" s="133"/>
      <c r="C106" s="133"/>
      <c r="D106" s="95"/>
      <c r="E106" s="95"/>
      <c r="F106" s="95"/>
      <c r="G106" s="62"/>
      <c r="H106" s="95"/>
      <c r="I106" s="59"/>
      <c r="J106" s="95"/>
      <c r="K106" s="95"/>
      <c r="L106" s="95"/>
      <c r="M106" s="100"/>
      <c r="N106" s="28"/>
      <c r="O106" s="100"/>
      <c r="P106" s="25"/>
      <c r="Q106" s="134">
        <f>IF(ISERROR(Q102),0,Q102)</f>
        <v>395136</v>
      </c>
      <c r="R106" s="135" t="str">
        <f>IF(Q106&lt;0,"Deficit","Surplus")</f>
        <v>Surplus</v>
      </c>
      <c r="S106" s="136"/>
      <c r="T106" s="137"/>
      <c r="U106" s="138"/>
    </row>
    <row r="107" ht="15.75" customHeight="1">
      <c r="A107" s="5"/>
      <c r="B107" s="59"/>
      <c r="C107" s="59"/>
      <c r="D107" s="59"/>
      <c r="E107" s="59"/>
      <c r="F107" s="59"/>
      <c r="G107" s="62"/>
      <c r="H107" s="59"/>
      <c r="I107" s="59"/>
      <c r="J107" s="59"/>
      <c r="K107" s="59"/>
      <c r="L107" s="59"/>
      <c r="M107" s="25"/>
      <c r="N107" s="28"/>
      <c r="O107" s="25"/>
      <c r="P107" s="25"/>
      <c r="Q107" s="131"/>
      <c r="R107" s="25"/>
      <c r="S107" s="5"/>
      <c r="T107" s="25"/>
      <c r="U107" s="5"/>
    </row>
    <row r="108" ht="15.75" customHeight="1">
      <c r="A108" s="85" t="s">
        <v>111</v>
      </c>
      <c r="B108" s="139"/>
      <c r="C108" s="85"/>
      <c r="D108" s="85"/>
      <c r="E108" s="85"/>
      <c r="F108" s="85"/>
      <c r="G108" s="62"/>
      <c r="H108" s="85"/>
      <c r="I108" s="59"/>
      <c r="J108" s="85"/>
      <c r="K108" s="85"/>
      <c r="L108" s="85"/>
      <c r="M108" s="85"/>
      <c r="N108" s="28"/>
      <c r="O108" s="85"/>
      <c r="P108" s="85"/>
      <c r="Q108" s="140"/>
      <c r="R108" s="85"/>
      <c r="S108" s="85"/>
      <c r="T108" s="85"/>
      <c r="U108" s="85"/>
    </row>
    <row r="109" ht="15.75" customHeight="1">
      <c r="A109" s="57" t="s">
        <v>112</v>
      </c>
      <c r="B109" s="58"/>
      <c r="C109" s="59"/>
      <c r="D109" s="60">
        <v>0.0</v>
      </c>
      <c r="E109" s="61">
        <v>0.0</v>
      </c>
      <c r="F109" s="60"/>
      <c r="G109" s="62"/>
      <c r="H109" s="87">
        <v>0.0</v>
      </c>
      <c r="I109" s="59"/>
      <c r="J109" s="64"/>
      <c r="K109" s="64">
        <f t="shared" ref="K109:K112" si="84">IF($F$4&gt;=12,F109,F109/12*$F$4)</f>
        <v>0</v>
      </c>
      <c r="L109" s="64">
        <f t="shared" ref="L109:L112" si="85">J109-K109</f>
        <v>0</v>
      </c>
      <c r="M109" s="65">
        <f t="shared" ref="M109:M112" si="86">IF(F109=0,0,J109/F109)</f>
        <v>0</v>
      </c>
      <c r="N109" s="28"/>
      <c r="O109" s="88"/>
      <c r="P109" s="25"/>
      <c r="Q109" s="67">
        <f t="shared" ref="Q109:Q112" si="87">IF(OR($F$4=12,$F$4=13),J109,F109+O109)</f>
        <v>0</v>
      </c>
      <c r="R109" s="25"/>
      <c r="S109" s="5"/>
      <c r="T109" s="68">
        <f t="shared" ref="T109:T112" si="88">Q109-F109</f>
        <v>0</v>
      </c>
      <c r="U109" s="141"/>
    </row>
    <row r="110" ht="15.75" customHeight="1">
      <c r="A110" s="57" t="s">
        <v>113</v>
      </c>
      <c r="B110" s="58"/>
      <c r="C110" s="59"/>
      <c r="D110" s="60">
        <v>0.0</v>
      </c>
      <c r="E110" s="61">
        <v>0.0</v>
      </c>
      <c r="F110" s="60"/>
      <c r="G110" s="62"/>
      <c r="H110" s="87">
        <v>0.0</v>
      </c>
      <c r="I110" s="59"/>
      <c r="J110" s="64"/>
      <c r="K110" s="64">
        <f t="shared" si="84"/>
        <v>0</v>
      </c>
      <c r="L110" s="64">
        <f t="shared" si="85"/>
        <v>0</v>
      </c>
      <c r="M110" s="65">
        <f t="shared" si="86"/>
        <v>0</v>
      </c>
      <c r="N110" s="28"/>
      <c r="O110" s="88"/>
      <c r="P110" s="25"/>
      <c r="Q110" s="67">
        <f t="shared" si="87"/>
        <v>0</v>
      </c>
      <c r="R110" s="25"/>
      <c r="S110" s="5"/>
      <c r="T110" s="68">
        <f t="shared" si="88"/>
        <v>0</v>
      </c>
      <c r="U110" s="5"/>
    </row>
    <row r="111" ht="15.75" customHeight="1">
      <c r="A111" s="57" t="s">
        <v>114</v>
      </c>
      <c r="B111" s="58"/>
      <c r="C111" s="59"/>
      <c r="D111" s="60">
        <v>0.0</v>
      </c>
      <c r="E111" s="61">
        <v>0.0</v>
      </c>
      <c r="F111" s="60"/>
      <c r="G111" s="62"/>
      <c r="H111" s="87">
        <v>0.0</v>
      </c>
      <c r="I111" s="59"/>
      <c r="J111" s="64"/>
      <c r="K111" s="64">
        <f t="shared" si="84"/>
        <v>0</v>
      </c>
      <c r="L111" s="64">
        <f t="shared" si="85"/>
        <v>0</v>
      </c>
      <c r="M111" s="65">
        <f t="shared" si="86"/>
        <v>0</v>
      </c>
      <c r="N111" s="28"/>
      <c r="O111" s="88"/>
      <c r="P111" s="25"/>
      <c r="Q111" s="67">
        <f t="shared" si="87"/>
        <v>0</v>
      </c>
      <c r="R111" s="25"/>
      <c r="S111" s="5"/>
      <c r="T111" s="68">
        <f t="shared" si="88"/>
        <v>0</v>
      </c>
      <c r="U111" s="5"/>
    </row>
    <row r="112" ht="15.75" customHeight="1">
      <c r="A112" s="57" t="s">
        <v>115</v>
      </c>
      <c r="B112" s="58"/>
      <c r="C112" s="59"/>
      <c r="D112" s="60">
        <v>0.0</v>
      </c>
      <c r="E112" s="61">
        <v>0.0</v>
      </c>
      <c r="F112" s="60"/>
      <c r="G112" s="62"/>
      <c r="H112" s="87">
        <v>0.0</v>
      </c>
      <c r="I112" s="59"/>
      <c r="J112" s="64"/>
      <c r="K112" s="64">
        <f t="shared" si="84"/>
        <v>0</v>
      </c>
      <c r="L112" s="64">
        <f t="shared" si="85"/>
        <v>0</v>
      </c>
      <c r="M112" s="65">
        <f t="shared" si="86"/>
        <v>0</v>
      </c>
      <c r="N112" s="28"/>
      <c r="O112" s="88"/>
      <c r="P112" s="25"/>
      <c r="Q112" s="67">
        <f t="shared" si="87"/>
        <v>0</v>
      </c>
      <c r="R112" s="25"/>
      <c r="S112" s="5"/>
      <c r="T112" s="68">
        <f t="shared" si="88"/>
        <v>0</v>
      </c>
      <c r="U112" s="5"/>
    </row>
    <row r="113" ht="15.75" customHeight="1">
      <c r="A113" s="71" t="s">
        <v>116</v>
      </c>
      <c r="B113" s="72">
        <f>SUM(B109:B112)</f>
        <v>0</v>
      </c>
      <c r="C113" s="59"/>
      <c r="D113" s="73">
        <f t="shared" ref="D113:F113" si="89">SUM(D109:D112)</f>
        <v>0</v>
      </c>
      <c r="E113" s="73">
        <f t="shared" si="89"/>
        <v>0</v>
      </c>
      <c r="F113" s="73">
        <f t="shared" si="89"/>
        <v>0</v>
      </c>
      <c r="G113" s="62"/>
      <c r="H113" s="73">
        <f>SUM(H109:H112)</f>
        <v>0</v>
      </c>
      <c r="I113" s="59"/>
      <c r="J113" s="73">
        <f t="shared" ref="J113:L113" si="90">SUM(J109:J112)</f>
        <v>0</v>
      </c>
      <c r="K113" s="73">
        <f t="shared" si="90"/>
        <v>0</v>
      </c>
      <c r="L113" s="97">
        <f t="shared" si="90"/>
        <v>0</v>
      </c>
      <c r="M113" s="74">
        <f>IF(D113=0,0,T113/D113)</f>
        <v>0</v>
      </c>
      <c r="N113" s="28"/>
      <c r="O113" s="120">
        <f>SUM(O109:O112)</f>
        <v>0</v>
      </c>
      <c r="P113" s="142"/>
      <c r="Q113" s="75">
        <f>SUM(Q109:Q112)</f>
        <v>0</v>
      </c>
      <c r="R113" s="25"/>
      <c r="S113" s="5"/>
      <c r="T113" s="76">
        <f>SUM(T109:T112)</f>
        <v>0</v>
      </c>
      <c r="U113" s="5"/>
    </row>
    <row r="114" ht="15.75" customHeight="1">
      <c r="A114" s="85" t="s">
        <v>117</v>
      </c>
      <c r="B114" s="139"/>
      <c r="C114" s="85"/>
      <c r="D114" s="85"/>
      <c r="E114" s="85"/>
      <c r="F114" s="85"/>
      <c r="G114" s="62"/>
      <c r="H114" s="85"/>
      <c r="I114" s="59"/>
      <c r="J114" s="85"/>
      <c r="K114" s="85"/>
      <c r="L114" s="85"/>
      <c r="M114" s="85"/>
      <c r="N114" s="28"/>
      <c r="O114" s="85"/>
      <c r="P114" s="85"/>
      <c r="Q114" s="140"/>
      <c r="R114" s="85"/>
      <c r="S114" s="85"/>
      <c r="T114" s="85"/>
      <c r="U114" s="85"/>
    </row>
    <row r="115" ht="15.75" customHeight="1">
      <c r="A115" s="57" t="s">
        <v>118</v>
      </c>
      <c r="B115" s="58"/>
      <c r="C115" s="59"/>
      <c r="D115" s="60">
        <v>0.0</v>
      </c>
      <c r="E115" s="61">
        <v>0.0</v>
      </c>
      <c r="F115" s="60"/>
      <c r="G115" s="62"/>
      <c r="H115" s="87">
        <v>0.0</v>
      </c>
      <c r="I115" s="59"/>
      <c r="J115" s="64"/>
      <c r="K115" s="64">
        <f t="shared" ref="K115:K118" si="91">IF($F$4&gt;=12,F115,F115/12*$F$4)</f>
        <v>0</v>
      </c>
      <c r="L115" s="64">
        <f t="shared" ref="L115:L119" si="92">K115-J115</f>
        <v>0</v>
      </c>
      <c r="M115" s="65">
        <f t="shared" ref="M115:M118" si="93">IF(F115=0,0,J115/F115)</f>
        <v>0</v>
      </c>
      <c r="N115" s="28"/>
      <c r="O115" s="88"/>
      <c r="P115" s="25"/>
      <c r="Q115" s="67">
        <f t="shared" ref="Q115:Q116" si="94">IF(OR($F$4=12,$F$4=13),J115,F115+O115)</f>
        <v>0</v>
      </c>
      <c r="R115" s="25"/>
      <c r="S115" s="5"/>
      <c r="T115" s="68">
        <f t="shared" ref="T115:T118" si="95">Q115-F115</f>
        <v>0</v>
      </c>
      <c r="U115" s="5"/>
    </row>
    <row r="116" ht="15.75" customHeight="1">
      <c r="A116" s="57" t="s">
        <v>119</v>
      </c>
      <c r="B116" s="58"/>
      <c r="C116" s="59"/>
      <c r="D116" s="60">
        <v>0.0</v>
      </c>
      <c r="E116" s="61">
        <v>0.0</v>
      </c>
      <c r="F116" s="60"/>
      <c r="G116" s="62"/>
      <c r="H116" s="87">
        <v>0.0</v>
      </c>
      <c r="I116" s="59"/>
      <c r="J116" s="64"/>
      <c r="K116" s="64">
        <f t="shared" si="91"/>
        <v>0</v>
      </c>
      <c r="L116" s="64">
        <f t="shared" si="92"/>
        <v>0</v>
      </c>
      <c r="M116" s="65">
        <f t="shared" si="93"/>
        <v>0</v>
      </c>
      <c r="N116" s="28"/>
      <c r="O116" s="88"/>
      <c r="P116" s="25"/>
      <c r="Q116" s="67">
        <f t="shared" si="94"/>
        <v>0</v>
      </c>
      <c r="R116" s="25"/>
      <c r="S116" s="5"/>
      <c r="T116" s="68">
        <f t="shared" si="95"/>
        <v>0</v>
      </c>
      <c r="U116" s="5"/>
    </row>
    <row r="117" ht="15.75" customHeight="1">
      <c r="A117" s="57" t="s">
        <v>120</v>
      </c>
      <c r="B117" s="58"/>
      <c r="C117" s="59"/>
      <c r="D117" s="60">
        <v>0.0</v>
      </c>
      <c r="E117" s="61">
        <v>0.0</v>
      </c>
      <c r="F117" s="60"/>
      <c r="G117" s="62"/>
      <c r="H117" s="87">
        <v>0.0</v>
      </c>
      <c r="I117" s="59"/>
      <c r="J117" s="64"/>
      <c r="K117" s="64">
        <f t="shared" si="91"/>
        <v>0</v>
      </c>
      <c r="L117" s="64">
        <f t="shared" si="92"/>
        <v>0</v>
      </c>
      <c r="M117" s="65">
        <f t="shared" si="93"/>
        <v>0</v>
      </c>
      <c r="N117" s="28"/>
      <c r="O117" s="88"/>
      <c r="P117" s="25"/>
      <c r="Q117" s="67">
        <f>IF(OR($F$4=12,$F$4=13),J117+O117,F117+O117)</f>
        <v>0</v>
      </c>
      <c r="R117" s="25"/>
      <c r="S117" s="5"/>
      <c r="T117" s="68">
        <f t="shared" si="95"/>
        <v>0</v>
      </c>
      <c r="U117" s="5"/>
    </row>
    <row r="118" ht="15.75" customHeight="1">
      <c r="A118" s="57" t="s">
        <v>121</v>
      </c>
      <c r="B118" s="59"/>
      <c r="C118" s="59"/>
      <c r="D118" s="87">
        <v>0.0</v>
      </c>
      <c r="E118" s="61">
        <v>0.0</v>
      </c>
      <c r="F118" s="87"/>
      <c r="G118" s="62"/>
      <c r="H118" s="87">
        <v>0.0</v>
      </c>
      <c r="I118" s="59"/>
      <c r="J118" s="87"/>
      <c r="K118" s="64">
        <f t="shared" si="91"/>
        <v>0</v>
      </c>
      <c r="L118" s="64">
        <f t="shared" si="92"/>
        <v>0</v>
      </c>
      <c r="M118" s="65">
        <f t="shared" si="93"/>
        <v>0</v>
      </c>
      <c r="N118" s="28"/>
      <c r="O118" s="88"/>
      <c r="P118" s="25"/>
      <c r="Q118" s="89">
        <f>F118+O118</f>
        <v>0</v>
      </c>
      <c r="R118" s="25"/>
      <c r="S118" s="5"/>
      <c r="T118" s="68">
        <f t="shared" si="95"/>
        <v>0</v>
      </c>
      <c r="U118" s="5"/>
    </row>
    <row r="119" ht="15.75" customHeight="1">
      <c r="A119" s="71" t="s">
        <v>122</v>
      </c>
      <c r="B119" s="72">
        <f>SUM(B115:B118)</f>
        <v>0</v>
      </c>
      <c r="C119" s="59"/>
      <c r="D119" s="73">
        <f t="shared" ref="D119:F119" si="96">SUM(D115:D118)</f>
        <v>0</v>
      </c>
      <c r="E119" s="73">
        <f t="shared" si="96"/>
        <v>0</v>
      </c>
      <c r="F119" s="73">
        <f t="shared" si="96"/>
        <v>0</v>
      </c>
      <c r="G119" s="62"/>
      <c r="H119" s="73">
        <f>SUM(H115:H118)</f>
        <v>0</v>
      </c>
      <c r="I119" s="59"/>
      <c r="J119" s="73">
        <f t="shared" ref="J119:K119" si="97">SUM(J115:J118)</f>
        <v>0</v>
      </c>
      <c r="K119" s="73">
        <f t="shared" si="97"/>
        <v>0</v>
      </c>
      <c r="L119" s="92">
        <f t="shared" si="92"/>
        <v>0</v>
      </c>
      <c r="M119" s="74">
        <f>IF(D119=0,0,T119/D119)</f>
        <v>0</v>
      </c>
      <c r="N119" s="28"/>
      <c r="O119" s="120">
        <f>SUM(O115:O118)</f>
        <v>0</v>
      </c>
      <c r="P119" s="142"/>
      <c r="Q119" s="75">
        <f>SUM(Q115:Q118)</f>
        <v>0</v>
      </c>
      <c r="R119" s="25"/>
      <c r="S119" s="5"/>
      <c r="T119" s="76">
        <f>SUM(T115:T118)</f>
        <v>0</v>
      </c>
      <c r="U119" s="25"/>
    </row>
    <row r="120" ht="15.75" customHeight="1">
      <c r="A120" s="42" t="s">
        <v>104</v>
      </c>
      <c r="B120" s="53"/>
      <c r="C120" s="79"/>
      <c r="D120" s="54"/>
      <c r="E120" s="55"/>
      <c r="F120" s="48"/>
      <c r="G120" s="62"/>
      <c r="H120" s="48"/>
      <c r="I120" s="59"/>
      <c r="J120" s="48"/>
      <c r="K120" s="55"/>
      <c r="L120" s="55"/>
      <c r="M120" s="48"/>
      <c r="N120" s="28"/>
      <c r="O120" s="48"/>
      <c r="P120" s="25"/>
      <c r="Q120" s="127"/>
      <c r="R120" s="50"/>
      <c r="S120" s="51"/>
      <c r="T120" s="48"/>
      <c r="U120" s="59"/>
    </row>
    <row r="121" ht="15.75" customHeight="1">
      <c r="A121" s="57" t="s">
        <v>123</v>
      </c>
      <c r="B121" s="58">
        <f>B11+B115-B110-B111-B112</f>
        <v>0</v>
      </c>
      <c r="C121" s="59"/>
      <c r="D121" s="60">
        <v>0.0</v>
      </c>
      <c r="E121" s="61">
        <v>0.0</v>
      </c>
      <c r="F121" s="60">
        <f>F11+F115-F110</f>
        <v>0</v>
      </c>
      <c r="G121" s="62"/>
      <c r="H121" s="63"/>
      <c r="I121" s="59"/>
      <c r="J121" s="69">
        <f>J11+J115-J110-J111-J112</f>
        <v>0</v>
      </c>
      <c r="K121" s="69">
        <f>K11+K115-K110</f>
        <v>0</v>
      </c>
      <c r="L121" s="64">
        <f t="shared" ref="L121:L124" si="98">K121-J121</f>
        <v>0</v>
      </c>
      <c r="M121" s="70"/>
      <c r="N121" s="28"/>
      <c r="O121" s="66"/>
      <c r="P121" s="25"/>
      <c r="Q121" s="67">
        <f>Q11-Q113+Q119</f>
        <v>0</v>
      </c>
      <c r="R121" s="25"/>
      <c r="S121" s="5"/>
      <c r="T121" s="68">
        <f t="shared" ref="T121:T123" si="99">Q121-F121</f>
        <v>0</v>
      </c>
      <c r="U121" s="5"/>
    </row>
    <row r="122" ht="15.75" hidden="1" customHeight="1">
      <c r="A122" s="57" t="s">
        <v>124</v>
      </c>
      <c r="B122" s="58"/>
      <c r="C122" s="59"/>
      <c r="D122" s="60">
        <v>0.0</v>
      </c>
      <c r="E122" s="61">
        <v>0.0</v>
      </c>
      <c r="F122" s="60" t="str">
        <f>F12</f>
        <v/>
      </c>
      <c r="G122" s="62"/>
      <c r="H122" s="63"/>
      <c r="I122" s="59"/>
      <c r="J122" s="69">
        <f>J12</f>
        <v>0</v>
      </c>
      <c r="K122" s="69">
        <f>K12-K112</f>
        <v>0</v>
      </c>
      <c r="L122" s="64">
        <f t="shared" si="98"/>
        <v>0</v>
      </c>
      <c r="M122" s="70"/>
      <c r="N122" s="28"/>
      <c r="O122" s="66"/>
      <c r="P122" s="25"/>
      <c r="Q122" s="67">
        <f t="shared" ref="Q122:Q123" si="101">Q12+O122</f>
        <v>0</v>
      </c>
      <c r="R122" s="25"/>
      <c r="S122" s="5"/>
      <c r="T122" s="68">
        <f t="shared" si="99"/>
        <v>0</v>
      </c>
      <c r="U122" s="5"/>
    </row>
    <row r="123" ht="15.75" customHeight="1">
      <c r="A123" s="57" t="s">
        <v>125</v>
      </c>
      <c r="B123" s="58">
        <f>B13+B116+B117-B109</f>
        <v>0</v>
      </c>
      <c r="C123" s="59"/>
      <c r="D123" s="60">
        <v>0.0</v>
      </c>
      <c r="E123" s="61">
        <v>0.0</v>
      </c>
      <c r="F123" s="60">
        <f>F13+F116+F117-F109</f>
        <v>0</v>
      </c>
      <c r="G123" s="62"/>
      <c r="H123" s="63"/>
      <c r="I123" s="59"/>
      <c r="J123" s="69">
        <f t="shared" ref="J123:K123" si="100">J13+J116+J117-J109</f>
        <v>0</v>
      </c>
      <c r="K123" s="69">
        <f t="shared" si="100"/>
        <v>0</v>
      </c>
      <c r="L123" s="64">
        <f t="shared" si="98"/>
        <v>0</v>
      </c>
      <c r="M123" s="70"/>
      <c r="N123" s="28"/>
      <c r="O123" s="66"/>
      <c r="P123" s="25"/>
      <c r="Q123" s="67">
        <f t="shared" si="101"/>
        <v>0</v>
      </c>
      <c r="R123" s="25"/>
      <c r="S123" s="5"/>
      <c r="T123" s="68">
        <f t="shared" si="99"/>
        <v>0</v>
      </c>
      <c r="U123" s="5"/>
    </row>
    <row r="124" ht="15.75" customHeight="1">
      <c r="A124" s="71" t="s">
        <v>108</v>
      </c>
      <c r="B124" s="72">
        <f>SUM(B121:B123)</f>
        <v>0</v>
      </c>
      <c r="C124" s="59"/>
      <c r="D124" s="73">
        <f t="shared" ref="D124:F124" si="102">SUM(D121:D123)</f>
        <v>0</v>
      </c>
      <c r="E124" s="73">
        <f t="shared" si="102"/>
        <v>0</v>
      </c>
      <c r="F124" s="73">
        <f t="shared" si="102"/>
        <v>0</v>
      </c>
      <c r="G124" s="62"/>
      <c r="H124" s="73"/>
      <c r="I124" s="59"/>
      <c r="J124" s="73">
        <f t="shared" ref="J124:K124" si="103">SUM(J121:J123)</f>
        <v>0</v>
      </c>
      <c r="K124" s="73">
        <f t="shared" si="103"/>
        <v>0</v>
      </c>
      <c r="L124" s="92">
        <f t="shared" si="98"/>
        <v>0</v>
      </c>
      <c r="M124" s="74">
        <f>IF(D124=0,0,T124/D124)</f>
        <v>0</v>
      </c>
      <c r="N124" s="28"/>
      <c r="O124" s="120">
        <f>SUM(O121:O123)</f>
        <v>0</v>
      </c>
      <c r="P124" s="25"/>
      <c r="Q124" s="75">
        <f>SUM(Q121:Q123)</f>
        <v>0</v>
      </c>
      <c r="R124" s="25"/>
      <c r="S124" s="5"/>
      <c r="T124" s="76">
        <f>SUM(T121:T123)</f>
        <v>0</v>
      </c>
      <c r="U124" s="5"/>
    </row>
    <row r="125" ht="15.75" customHeight="1">
      <c r="A125" s="5"/>
      <c r="B125" s="59"/>
      <c r="C125" s="59"/>
      <c r="D125" s="59"/>
      <c r="E125" s="59"/>
      <c r="F125" s="59"/>
      <c r="G125" s="62"/>
      <c r="H125" s="59"/>
      <c r="I125" s="59"/>
      <c r="J125" s="59"/>
      <c r="K125" s="59"/>
      <c r="L125" s="59"/>
      <c r="M125" s="25"/>
      <c r="N125" s="28"/>
      <c r="O125" s="25"/>
      <c r="P125" s="25"/>
      <c r="Q125" s="131"/>
      <c r="R125" s="25"/>
      <c r="S125" s="5"/>
      <c r="T125" s="25"/>
      <c r="U125" s="5"/>
    </row>
    <row r="126" ht="15.75" customHeight="1">
      <c r="A126" s="71" t="s">
        <v>126</v>
      </c>
      <c r="B126" s="107">
        <f>B104+B124</f>
        <v>0</v>
      </c>
      <c r="C126" s="108"/>
      <c r="D126" s="73">
        <f>D104+D124</f>
        <v>0</v>
      </c>
      <c r="E126" s="73">
        <f>E124+E104</f>
        <v>0</v>
      </c>
      <c r="F126" s="73">
        <f>F104+F124</f>
        <v>2944</v>
      </c>
      <c r="G126" s="62"/>
      <c r="H126" s="73">
        <f>+H124+H119-H113</f>
        <v>0</v>
      </c>
      <c r="I126" s="59"/>
      <c r="J126" s="73">
        <f t="shared" ref="J126:K126" si="104">J104+J124</f>
        <v>473407</v>
      </c>
      <c r="K126" s="73">
        <f t="shared" si="104"/>
        <v>-37986</v>
      </c>
      <c r="L126" s="92">
        <f>K126-J126</f>
        <v>-511393</v>
      </c>
      <c r="M126" s="74"/>
      <c r="N126" s="28"/>
      <c r="O126" s="120">
        <f>+O124+O119-O113</f>
        <v>0</v>
      </c>
      <c r="P126" s="25"/>
      <c r="Q126" s="75">
        <f>Q104+Q124</f>
        <v>395136</v>
      </c>
      <c r="R126" s="25"/>
      <c r="S126" s="5"/>
      <c r="T126" s="76">
        <f>T104+T124</f>
        <v>392192</v>
      </c>
      <c r="U126" s="25"/>
    </row>
    <row r="127" ht="15.75" customHeight="1">
      <c r="A127" s="5"/>
      <c r="B127" s="59"/>
      <c r="C127" s="59"/>
      <c r="D127" s="59"/>
      <c r="E127" s="59"/>
      <c r="F127" s="59"/>
      <c r="G127" s="62"/>
      <c r="H127" s="59"/>
      <c r="I127" s="59"/>
      <c r="J127" s="59"/>
      <c r="K127" s="59"/>
      <c r="L127" s="59"/>
      <c r="M127" s="5"/>
      <c r="N127" s="28"/>
      <c r="O127" s="5"/>
      <c r="P127" s="25"/>
      <c r="Q127" s="131"/>
      <c r="R127" s="5"/>
      <c r="S127" s="5"/>
      <c r="T127" s="5"/>
      <c r="U127" s="5"/>
    </row>
    <row r="128" ht="15.75" customHeight="1">
      <c r="A128" s="132" t="str">
        <f>"Projected capital balance for " &amp; F2 &amp; " financial year:"</f>
        <v>Projected capital balance for 26-27 financial year:</v>
      </c>
      <c r="B128" s="133"/>
      <c r="C128" s="133"/>
      <c r="D128" s="95"/>
      <c r="E128" s="95"/>
      <c r="F128" s="95"/>
      <c r="G128" s="62"/>
      <c r="H128" s="95"/>
      <c r="I128" s="59"/>
      <c r="J128" s="59"/>
      <c r="K128" s="59"/>
      <c r="L128" s="59"/>
      <c r="M128" s="100"/>
      <c r="N128" s="28"/>
      <c r="O128" s="100"/>
      <c r="P128" s="25"/>
      <c r="Q128" s="143">
        <f>Q126</f>
        <v>395136</v>
      </c>
      <c r="R128" s="135" t="str">
        <f>IF(Q128&lt;0,"Deficit","Surplus")</f>
        <v>Surplus</v>
      </c>
      <c r="S128" s="136"/>
      <c r="T128" s="137"/>
      <c r="U128" s="15"/>
    </row>
    <row r="129" ht="15.75" customHeight="1">
      <c r="A129" s="5"/>
      <c r="B129" s="59"/>
      <c r="C129" s="59"/>
      <c r="D129" s="59"/>
      <c r="E129" s="59"/>
      <c r="F129" s="59"/>
      <c r="G129" s="62"/>
      <c r="H129" s="59"/>
      <c r="I129" s="59"/>
      <c r="J129" s="59"/>
      <c r="K129" s="59"/>
      <c r="L129" s="59"/>
      <c r="M129" s="5"/>
      <c r="N129" s="28"/>
      <c r="O129" s="5"/>
      <c r="P129" s="25"/>
      <c r="Q129" s="91"/>
      <c r="R129" s="5"/>
      <c r="S129" s="5"/>
      <c r="T129" s="5"/>
      <c r="U129" s="5"/>
    </row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D6:F6"/>
    <mergeCell ref="J6:M6"/>
  </mergeCells>
  <conditionalFormatting sqref="E8">
    <cfRule type="cellIs" dxfId="0" priority="1" stopIfTrue="1" operator="lessThan">
      <formula>-5000</formula>
    </cfRule>
  </conditionalFormatting>
  <conditionalFormatting sqref="E8">
    <cfRule type="cellIs" dxfId="0" priority="2" stopIfTrue="1" operator="greaterThan">
      <formula>5000</formula>
    </cfRule>
  </conditionalFormatting>
  <conditionalFormatting sqref="E98">
    <cfRule type="cellIs" dxfId="0" priority="3" stopIfTrue="1" operator="lessThan">
      <formula>-5000</formula>
    </cfRule>
  </conditionalFormatting>
  <conditionalFormatting sqref="E98">
    <cfRule type="cellIs" dxfId="0" priority="4" stopIfTrue="1" operator="greaterThan">
      <formula>5000</formula>
    </cfRule>
  </conditionalFormatting>
  <conditionalFormatting sqref="E120">
    <cfRule type="cellIs" dxfId="0" priority="5" stopIfTrue="1" operator="lessThan">
      <formula>-5000</formula>
    </cfRule>
  </conditionalFormatting>
  <conditionalFormatting sqref="E120">
    <cfRule type="cellIs" dxfId="0" priority="6" stopIfTrue="1" operator="greaterThan">
      <formula>5000</formula>
    </cfRule>
  </conditionalFormatting>
  <conditionalFormatting sqref="K98">
    <cfRule type="cellIs" dxfId="0" priority="7" stopIfTrue="1" operator="lessThan">
      <formula>-5000</formula>
    </cfRule>
  </conditionalFormatting>
  <conditionalFormatting sqref="K98">
    <cfRule type="cellIs" dxfId="0" priority="8" stopIfTrue="1" operator="greaterThan">
      <formula>5000</formula>
    </cfRule>
  </conditionalFormatting>
  <conditionalFormatting sqref="K120">
    <cfRule type="cellIs" dxfId="0" priority="9" stopIfTrue="1" operator="lessThan">
      <formula>-5000</formula>
    </cfRule>
  </conditionalFormatting>
  <conditionalFormatting sqref="K120">
    <cfRule type="cellIs" dxfId="0" priority="10" stopIfTrue="1" operator="greaterThan">
      <formula>5000</formula>
    </cfRule>
  </conditionalFormatting>
  <conditionalFormatting sqref="K8:L8">
    <cfRule type="cellIs" dxfId="0" priority="11" stopIfTrue="1" operator="lessThan">
      <formula>-5000</formula>
    </cfRule>
  </conditionalFormatting>
  <conditionalFormatting sqref="K8:L8">
    <cfRule type="cellIs" dxfId="0" priority="12" stopIfTrue="1" operator="greaterThan">
      <formula>5000</formula>
    </cfRule>
  </conditionalFormatting>
  <conditionalFormatting sqref="L9:L10 L14">
    <cfRule type="cellIs" dxfId="1" priority="13" stopIfTrue="1" operator="lessThanOrEqual">
      <formula>-5000</formula>
    </cfRule>
  </conditionalFormatting>
  <conditionalFormatting sqref="L9:L10 L14">
    <cfRule type="cellIs" dxfId="0" priority="14" stopIfTrue="1" operator="greaterThan">
      <formula>5000</formula>
    </cfRule>
  </conditionalFormatting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29"/>
    <col customWidth="1" min="2" max="2" width="14.86"/>
    <col customWidth="1" min="3" max="3" width="8.71"/>
    <col customWidth="1" min="4" max="4" width="14.29"/>
    <col customWidth="1" min="5" max="26" width="8.71"/>
  </cols>
  <sheetData>
    <row r="2">
      <c r="A2" s="144" t="str">
        <f>Monitoring!A2</f>
        <v/>
      </c>
    </row>
    <row r="4">
      <c r="B4" s="145"/>
    </row>
    <row r="5">
      <c r="A5" s="146" t="s">
        <v>127</v>
      </c>
      <c r="B5" s="145">
        <f>Monitoring!B69</f>
        <v>0</v>
      </c>
    </row>
    <row r="6">
      <c r="A6" s="146" t="s">
        <v>128</v>
      </c>
      <c r="B6" s="145">
        <f>Monitoring!Q69</f>
        <v>3413184</v>
      </c>
    </row>
    <row r="7">
      <c r="B7" s="145"/>
    </row>
    <row r="8">
      <c r="A8" s="144" t="s">
        <v>129</v>
      </c>
      <c r="B8" s="147">
        <f>B6-B5</f>
        <v>3413184</v>
      </c>
    </row>
    <row r="9">
      <c r="B9" s="145"/>
    </row>
    <row r="10">
      <c r="A10" s="144" t="s">
        <v>130</v>
      </c>
      <c r="B10" s="147" t="str">
        <f>B8/B5*100</f>
        <v>#DIV/0!</v>
      </c>
    </row>
    <row r="11">
      <c r="B11" s="145"/>
      <c r="D11" s="144" t="s">
        <v>131</v>
      </c>
    </row>
    <row r="12">
      <c r="A12" s="146" t="s">
        <v>132</v>
      </c>
      <c r="B12" s="145">
        <f>Monitoring!B94</f>
        <v>0</v>
      </c>
      <c r="D12" s="145" t="str">
        <f>Monitoring!B73</f>
        <v/>
      </c>
    </row>
    <row r="13">
      <c r="A13" s="146" t="s">
        <v>133</v>
      </c>
      <c r="B13" s="145">
        <f>Monitoring!Q94</f>
        <v>3808320</v>
      </c>
      <c r="D13" s="145">
        <f>Monitoring!Q73</f>
        <v>195991</v>
      </c>
    </row>
    <row r="14">
      <c r="B14" s="145"/>
    </row>
    <row r="15">
      <c r="A15" s="144" t="s">
        <v>129</v>
      </c>
      <c r="B15" s="147">
        <f>B12-B13</f>
        <v>-3808320</v>
      </c>
      <c r="D15" s="147">
        <f>D12-D13</f>
        <v>-195991</v>
      </c>
    </row>
    <row r="17">
      <c r="A17" s="144" t="s">
        <v>134</v>
      </c>
      <c r="B17" s="147" t="str">
        <f>B15/B12*100</f>
        <v>#DIV/0!</v>
      </c>
      <c r="D17" s="147" t="str">
        <f>D15/D12*100</f>
        <v>#DIV/0!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2021-07-02T11:31:29Z</dcterms:created>
  <dc:creator>Norman Planter</dc:creator>
</cp:coreProperties>
</file>