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udget Summary" sheetId="1" r:id="rId4"/>
    <sheet state="visible" name="Summary &amp; CFR" sheetId="2" r:id="rId5"/>
    <sheet state="visible" name="Budget Narrative" sheetId="3" r:id="rId6"/>
    <sheet state="visible" name="Early Years Funding Guidance" sheetId="4" r:id="rId7"/>
    <sheet state="visible" name="Early Years Indicative Budget" sheetId="5" r:id="rId8"/>
    <sheet state="hidden" name="Lookups" sheetId="6" r:id="rId9"/>
  </sheets>
  <externalReferences>
    <externalReference r:id="rId10"/>
  </externalReferences>
  <definedNames>
    <definedName name="DFE">'Budget Summary'!$C$2</definedName>
    <definedName hidden="1" localSheetId="5" name="_xlnm._FilterDatabase">Lookups!$A$2:$DP$47</definedName>
    <definedName hidden="1" name="Google_Sheet_Link_1765155887">DFE</definedName>
  </definedNames>
  <calcPr/>
  <extLst>
    <ext uri="GoogleSheetsCustomDataVersion2">
      <go:sheetsCustomData xmlns:go="http://customooxmlschemas.google.com/" r:id="rId11" roundtripDataChecksum="V2qC4Zcyu1mfgrHHgUvInzI/Cp3PXlVQbULsXvAirrs="/>
    </ext>
  </extLst>
</workbook>
</file>

<file path=xl/sharedStrings.xml><?xml version="1.0" encoding="utf-8"?>
<sst xmlns="http://schemas.openxmlformats.org/spreadsheetml/2006/main" count="711" uniqueCount="425">
  <si>
    <t>Please select your DFE number</t>
  </si>
  <si>
    <t>School Budget Support Grant</t>
  </si>
  <si>
    <t>Please note: part of the per pupil increase in 2026/27 is attributable to the full year value of this grant in 2026/27 rather than the seven month value in 2025/26. This is new cash in the system but there is a corresponding full year cost.</t>
  </si>
  <si>
    <t>National Insurance Contributions Grant</t>
  </si>
  <si>
    <t>Schools Block budget</t>
  </si>
  <si>
    <t>of which</t>
  </si>
  <si>
    <t>2025/26 Comparrison</t>
  </si>
  <si>
    <t>Notional SEN Budget</t>
  </si>
  <si>
    <t>Local Funding Formula (LFF)</t>
  </si>
  <si>
    <t>2025/26 Formula</t>
  </si>
  <si>
    <t>'Rolled in' 2025/26 Grants</t>
  </si>
  <si>
    <t>Total 'like 4 like' comparator</t>
  </si>
  <si>
    <t>Movement</t>
  </si>
  <si>
    <t>Units</t>
  </si>
  <si>
    <t>Rate</t>
  </si>
  <si>
    <t>Allocation</t>
  </si>
  <si>
    <t>Age Weighted Pupil Unit</t>
  </si>
  <si>
    <t>Primary</t>
  </si>
  <si>
    <t>KS3</t>
  </si>
  <si>
    <t>KS4</t>
  </si>
  <si>
    <t>Free School Meals</t>
  </si>
  <si>
    <t>Free School Meals Ever 6</t>
  </si>
  <si>
    <t>Income Deprivation Affecting Children Index</t>
  </si>
  <si>
    <t>IDACI Band F</t>
  </si>
  <si>
    <t>IDACI Band E</t>
  </si>
  <si>
    <t>IDACI Band D</t>
  </si>
  <si>
    <t>IDACI Band C</t>
  </si>
  <si>
    <t>IDACI Band B</t>
  </si>
  <si>
    <t>IDACI Band A</t>
  </si>
  <si>
    <t>English as an Additional Language</t>
  </si>
  <si>
    <t>Low Prior Attainment</t>
  </si>
  <si>
    <t>Mobility</t>
  </si>
  <si>
    <t>Lump Sum</t>
  </si>
  <si>
    <t>National Non Domestic Rates</t>
  </si>
  <si>
    <t>Total Formula Factors</t>
  </si>
  <si>
    <t>Minimum Funding Guarantee (MFG) (see below)</t>
  </si>
  <si>
    <t>Total Funding Including MFG</t>
  </si>
  <si>
    <t>De-delegation (see below)</t>
  </si>
  <si>
    <t>Total 2025/26 per pupil</t>
  </si>
  <si>
    <t>Total 2026/27 per pupil</t>
  </si>
  <si>
    <t>Final Schools Block Budget After De-delegation</t>
  </si>
  <si>
    <t>Movement £</t>
  </si>
  <si>
    <t>Movement %</t>
  </si>
  <si>
    <t>Minimum Funding Guarantee (MFG)</t>
  </si>
  <si>
    <t>2025/26 School Budget</t>
  </si>
  <si>
    <t>A</t>
  </si>
  <si>
    <t>2025/26 Rolled in grants</t>
  </si>
  <si>
    <t>B</t>
  </si>
  <si>
    <t>2025/26 National Non Domestic Rates</t>
  </si>
  <si>
    <t>C</t>
  </si>
  <si>
    <t>2026/27 Lump sum</t>
  </si>
  <si>
    <t>D</t>
  </si>
  <si>
    <t>2025/26 Baseline</t>
  </si>
  <si>
    <t>E</t>
  </si>
  <si>
    <t>=A+B-C-D</t>
  </si>
  <si>
    <t>2025/26 Pupil Number</t>
  </si>
  <si>
    <t>F</t>
  </si>
  <si>
    <t>2025/26 Baseline per pupil</t>
  </si>
  <si>
    <t>G</t>
  </si>
  <si>
    <t>=E/F</t>
  </si>
  <si>
    <t>2026/27 Protected baseline per pupil</t>
  </si>
  <si>
    <t>H</t>
  </si>
  <si>
    <t>=G*1.00</t>
  </si>
  <si>
    <t>2026/27 Pupil Number</t>
  </si>
  <si>
    <t>I</t>
  </si>
  <si>
    <t>Protected baseline multiplied up by 2026/27 pupils</t>
  </si>
  <si>
    <t>J</t>
  </si>
  <si>
    <t>=H*I</t>
  </si>
  <si>
    <t>2026/27 National Non Domestic Rates</t>
  </si>
  <si>
    <t>K</t>
  </si>
  <si>
    <t>2026/27 Lump Sum</t>
  </si>
  <si>
    <t>L</t>
  </si>
  <si>
    <t>MFG Budget</t>
  </si>
  <si>
    <t>M</t>
  </si>
  <si>
    <t>=J+K+L</t>
  </si>
  <si>
    <t>MFG Allocation (minimum £0)</t>
  </si>
  <si>
    <t>IF MFG Budget &gt; Total Formula Factors (MFG Budget - Total Formula Factors) ELSE £0</t>
  </si>
  <si>
    <t>De-delegation</t>
  </si>
  <si>
    <t>Pupils</t>
  </si>
  <si>
    <t>For School Contingencies</t>
  </si>
  <si>
    <t>For UPEG/bilingual learners</t>
  </si>
  <si>
    <t>Free school meals eligibility service</t>
  </si>
  <si>
    <t>Licences/subscriptions</t>
  </si>
  <si>
    <t>For Trade Union Supply Cover</t>
  </si>
  <si>
    <t>For School Improvement (SRAS)</t>
  </si>
  <si>
    <t>Total De-delegation</t>
  </si>
  <si>
    <t>Early Years Block Budget</t>
  </si>
  <si>
    <t>Funding Rates</t>
  </si>
  <si>
    <t>3 &amp; 4 Year Old Funding Rate</t>
  </si>
  <si>
    <t>Standard Funding Rate</t>
  </si>
  <si>
    <t>% of hours funded</t>
  </si>
  <si>
    <t>School Rate (hr)</t>
  </si>
  <si>
    <t>Basic Rate</t>
  </si>
  <si>
    <t>IDACI</t>
  </si>
  <si>
    <t>EYPP Eligibility</t>
  </si>
  <si>
    <t>Staff Qualification</t>
  </si>
  <si>
    <t>Total 3&amp;4 Year Old Rate for this School</t>
  </si>
  <si>
    <t>Disability Access Fund (Lump Sum)</t>
  </si>
  <si>
    <t>Early Years Pupil Premium</t>
  </si>
  <si>
    <t>2 Year Olds (Additional Support Eligibility)</t>
  </si>
  <si>
    <t>2 Year Olds (Working Parent Eligibility)</t>
  </si>
  <si>
    <t>Under 2 Year Olds</t>
  </si>
  <si>
    <t>Summer 3&amp;4 Year Old Funding</t>
  </si>
  <si>
    <t>Weekly Hours</t>
  </si>
  <si>
    <t>Termly Hours (13 weeks)</t>
  </si>
  <si>
    <t>15 hour pupils (headcount)</t>
  </si>
  <si>
    <t>30 hour pupils (headcount)</t>
  </si>
  <si>
    <t>Total</t>
  </si>
  <si>
    <t>Summer 2 Year Old Funding</t>
  </si>
  <si>
    <t>Funding</t>
  </si>
  <si>
    <t>15 hour pupils (Additional Support Eligibility ) (headcount)</t>
  </si>
  <si>
    <t>30 hour pupils (Working Parent Eligibility ) (headcount)</t>
  </si>
  <si>
    <t>Summer Under 2 Year Old Funding</t>
  </si>
  <si>
    <t>Autumn 3&amp;4 Year Old Funding</t>
  </si>
  <si>
    <t>Termly Hours (14 weeks)</t>
  </si>
  <si>
    <t>Autumn 2 Year Old Funding</t>
  </si>
  <si>
    <t>Autumn Under 2 Year Old Funding</t>
  </si>
  <si>
    <t>Spring 3&amp;4 Year Old Funding</t>
  </si>
  <si>
    <t>Termly Hours (11 weeks)</t>
  </si>
  <si>
    <t>Spring 2 Year Old Funding</t>
  </si>
  <si>
    <t>Spring Under 2 Year Old Funding</t>
  </si>
  <si>
    <t>Disabilty Access Fund</t>
  </si>
  <si>
    <t>Number of eligible pupils throughout the year</t>
  </si>
  <si>
    <t>Funded @ £975 Lump Sum</t>
  </si>
  <si>
    <t>Number of eligible pupils on Summer 2026 census</t>
  </si>
  <si>
    <t>Number of eligible pupils on Autumn 2026 census</t>
  </si>
  <si>
    <t>Number of eligible pupils on Spring 2027 census</t>
  </si>
  <si>
    <t>Funded Hours (assume max 15 hrs per pupil)</t>
  </si>
  <si>
    <t>Funded @ £1.15 per hour</t>
  </si>
  <si>
    <t>Total Early Years Block Funding</t>
  </si>
  <si>
    <t>High Needs Block Budget</t>
  </si>
  <si>
    <t>Element 2 place funding</t>
  </si>
  <si>
    <t>(only for schools with commissioned places)</t>
  </si>
  <si>
    <t>Academic year 2025/26 places</t>
  </si>
  <si>
    <t>Academic year 2026/27 places (overtype if necessary)</t>
  </si>
  <si>
    <t>Financial year 2026/27 average</t>
  </si>
  <si>
    <t>@ £6,000 per place</t>
  </si>
  <si>
    <t>Legacy Funding</t>
  </si>
  <si>
    <t>This is a new funding line for 2026/27 and it replaces the funding schools received for their high needs places in 2025/26 through the NI Grant and the School Budget Support Grant (SBSG). It includes a rate of £286 per place in respect of the NI grant and an annualised rate of £253 in respect of the SBSG. This is a total of £539 which is the figure reported in the media, however this is subject to the schools NFF area cost adjustment which is approximately 18% in Hackney. The final rate shown here is then £638</t>
  </si>
  <si>
    <t>@ £638 per place</t>
  </si>
  <si>
    <t>Enter qualifying pupil numbers (pro rata if necessary)</t>
  </si>
  <si>
    <t>RP Top up</t>
  </si>
  <si>
    <t>Top up level 1</t>
  </si>
  <si>
    <t>Top up level 2</t>
  </si>
  <si>
    <t>Top up level 3</t>
  </si>
  <si>
    <t>Top up level 4</t>
  </si>
  <si>
    <t>Top up level 5</t>
  </si>
  <si>
    <t>Other Grants</t>
  </si>
  <si>
    <t>Notes</t>
  </si>
  <si>
    <t>Schools should populate the blue cells to complete the estimate of the grants listed</t>
  </si>
  <si>
    <t>These grants are calculated nationally by the DFE who will then provide the allocations and funding in due course</t>
  </si>
  <si>
    <t>The calculations below reflect our current expectations, however the final allocations published by the DFE could differ but will be final</t>
  </si>
  <si>
    <t>Pupil Premium</t>
  </si>
  <si>
    <t>Additional information online</t>
  </si>
  <si>
    <t>These rates are likely to be updated</t>
  </si>
  <si>
    <t>Primary Ever6 FSM</t>
  </si>
  <si>
    <t>Secondary Ever6FSM</t>
  </si>
  <si>
    <t>Previously Looked After Children</t>
  </si>
  <si>
    <t>Estimated Grant Total</t>
  </si>
  <si>
    <t>Universal Infant Free School Meal Grant</t>
  </si>
  <si>
    <t>Enter the number of pupils taking a school meal on the relevant census day who do not qualify for FSM</t>
  </si>
  <si>
    <t>This is an academic year grant and for the purposes of this template it is assumed the same process will apply in the 2026/27 academic year</t>
  </si>
  <si>
    <t>Reception Pupils</t>
  </si>
  <si>
    <t>Year 1 and 2 Pupils</t>
  </si>
  <si>
    <t>Academic year funded pupils 2025/26</t>
  </si>
  <si>
    <t>Year R</t>
  </si>
  <si>
    <t>Years 1 &amp; 2</t>
  </si>
  <si>
    <t>Academic year funded pupils 2026/27</t>
  </si>
  <si>
    <t>Academic year estimated funding 2025/26 @ £495.90</t>
  </si>
  <si>
    <t>Academic year estimated funding 2026/27 @ £495.90</t>
  </si>
  <si>
    <t>2026/27 Financial Year Estimated Grant</t>
  </si>
  <si>
    <t>PE and Sport Premium for Primary Schools</t>
  </si>
  <si>
    <t>Already published (5/12) allocation for 2025/26 academic year</t>
  </si>
  <si>
    <t>Estimate for 2026/27 academic year assumes the grant will continue on the same terms in the 2026/27 academic year</t>
  </si>
  <si>
    <t>Pupil Led</t>
  </si>
  <si>
    <t>Subtotal</t>
  </si>
  <si>
    <t>(7/12)</t>
  </si>
  <si>
    <t>2025/26 Financial year estimated allocation</t>
  </si>
  <si>
    <t>School Sixth Form (including Bursary)</t>
  </si>
  <si>
    <t>Please enter school estimate</t>
  </si>
  <si>
    <t>Year 2 and Year 3 Indications</t>
  </si>
  <si>
    <t>The current MFG calculation has been largely unchanged for a number of years and is the primary driver of school budgets in Hackney</t>
  </si>
  <si>
    <t>However, school budgets in future years will be subject to further government announcements and are inherently uncertain</t>
  </si>
  <si>
    <t>This section recreates the current MFG calculation for the next two years to provide schools with an indicative income figure for their multi year budget</t>
  </si>
  <si>
    <t>October 2025 Roll</t>
  </si>
  <si>
    <t>This is in the current budget</t>
  </si>
  <si>
    <t>October 2026 Estimated Roll</t>
  </si>
  <si>
    <t>This defaults to the current budget but overtype if considered appropriate</t>
  </si>
  <si>
    <t>October 2027 Estimated Roll</t>
  </si>
  <si>
    <t>Estimated MFG uplift for 2027/28</t>
  </si>
  <si>
    <t>The 2025/26 rate is 0.5% but overtype if you consider appropriate</t>
  </si>
  <si>
    <t>Estimated MFG uplift for 2028/29</t>
  </si>
  <si>
    <t>Lump sum inflation per year</t>
  </si>
  <si>
    <t>This is illustrated at 3% but is a limited proportion of the budget</t>
  </si>
  <si>
    <t>NNDR inflation per year</t>
  </si>
  <si>
    <t>This is illustrated at 0% although the income will match the expenditure</t>
  </si>
  <si>
    <t>Minimum Funding Guarantee Illustration 2027/28</t>
  </si>
  <si>
    <t>2026/27 School Budget</t>
  </si>
  <si>
    <t>2027/28 Lump sum</t>
  </si>
  <si>
    <t>2026/27 Baseline</t>
  </si>
  <si>
    <t>=A-B-C</t>
  </si>
  <si>
    <t>2026/27 Baseline per pupil</t>
  </si>
  <si>
    <t>=D/E</t>
  </si>
  <si>
    <t>2027/28 Protected baseline per pupil</t>
  </si>
  <si>
    <t>2027/28 Pupil Number</t>
  </si>
  <si>
    <t>Protected baseline multiplied up by 2027/28 pupils</t>
  </si>
  <si>
    <t>=G*H</t>
  </si>
  <si>
    <t>2027/28 National Non Domestic Rates</t>
  </si>
  <si>
    <t>2027/28 Lump Sum</t>
  </si>
  <si>
    <t>=I+J+K</t>
  </si>
  <si>
    <t>Minimum Funding Guarantee Illustration 2028/29</t>
  </si>
  <si>
    <t>2027/28 School Budget</t>
  </si>
  <si>
    <t>2028/29 Lump sum</t>
  </si>
  <si>
    <t>2027/28 Baseline</t>
  </si>
  <si>
    <t>2027/28 Baseline per pupil</t>
  </si>
  <si>
    <t>2028/29 Protected baseline per pupil</t>
  </si>
  <si>
    <t>2028/29 Pupil Number</t>
  </si>
  <si>
    <t>Protected baseline multiplied up by 2028/29 pupils</t>
  </si>
  <si>
    <t>2028/29 National Non Domestic Rates</t>
  </si>
  <si>
    <t>2028/29 Lump Sum</t>
  </si>
  <si>
    <t>Income Items</t>
  </si>
  <si>
    <t>Total Formula Funding Including MFG</t>
  </si>
  <si>
    <t>I01</t>
  </si>
  <si>
    <t>funds delegated by the local authority</t>
  </si>
  <si>
    <t>Early Years Funding</t>
  </si>
  <si>
    <t>High Needs Place Funding</t>
  </si>
  <si>
    <t>High Needs Top up Funding</t>
  </si>
  <si>
    <t>I03</t>
  </si>
  <si>
    <t>high needs top up funding</t>
  </si>
  <si>
    <t>I05</t>
  </si>
  <si>
    <t>pupil premium</t>
  </si>
  <si>
    <t>I06</t>
  </si>
  <si>
    <t>other government grants</t>
  </si>
  <si>
    <t>I02</t>
  </si>
  <si>
    <t>funding for sixth form students</t>
  </si>
  <si>
    <t>Expenditure Items</t>
  </si>
  <si>
    <t>2024/25 National Non Domestic Rates</t>
  </si>
  <si>
    <t>E17</t>
  </si>
  <si>
    <t>rates</t>
  </si>
  <si>
    <t>E23</t>
  </si>
  <si>
    <t>other insurance premiums</t>
  </si>
  <si>
    <t>E27</t>
  </si>
  <si>
    <t>bought-in professional services - curriculum</t>
  </si>
  <si>
    <t>E28a</t>
  </si>
  <si>
    <t>bought-in professional services - other (except PFI)</t>
  </si>
  <si>
    <t>E19</t>
  </si>
  <si>
    <t>learning resources</t>
  </si>
  <si>
    <t>E11</t>
  </si>
  <si>
    <t>staff-related insurance</t>
  </si>
  <si>
    <t>Formula Factors</t>
  </si>
  <si>
    <t>In 2026/27, Hackney has continued its policy of following the National Funding Formula (NFF) for all factors other than AWPU which continues to be provided at a higher rate. There is now a national requirement that any factor that doesn't mirror the NFF (+/-2.5%) must move 10% closer to the NFF than it was in 2025/26. The AWPU in Hackney for 2026/27 will be paid at the highest allowable and affordable rate, which is more than last year but the 'premium' over the NFF is reduced to meet the aforementioned requirement.  The rates that you see on the budget template will differ from figures you may read about the NFF in the media as there is a national NFF rate that applies across the country but this is then subject to the 'area cost adjustment' which in some cases increases the rate. As Hackney is an inner London borough we have a much higher than average area cost adjustment.</t>
  </si>
  <si>
    <t>In summary, the formula rates are all the same as the NFF apart from the AWPU which is higher than the NFF to the greatest allowable and affordable extent.</t>
  </si>
  <si>
    <t>Minimum Funding Guarantee</t>
  </si>
  <si>
    <t>The minimum funding guarantee is central to a full understanding of the school budget in Hackney. The purpose of the MFG for many years now has been to protect the average amount of funding received by a school per pupil from one year to another, it does not protect the total budget from changes in pupil numbers. In the published school budget, the MFG mandated minimum budget for the 66 mainstream schools and acdemies in Hackney is £239,964,782. The actual distribution is £242,337,505, an increase of just £2,372,723 which is caused by the policy of having an AWPU in excess of the NFF which has the effect of transferring funding from the MFG to the AWPU and in some cases lifting schools off the MFG. As the overall funding in Hackney is determined by the MFG rather than the rest of the NFF, the increases in funding per pupil seen by Hackney schools fall short of the headline rate increases in the NFF that are sometimes reported in the media. The calculation steps of the MFG are shown on the Budget Summary tab. It is important to note that in 2026/27 as in some previous years there are 'rolled in' grants. These relate to grants that were paid separately in 2025/26 but are being rolled into the DSG in 2026/27 so they get added to the school budget from last year for the purposes of calculating the MFG. The lump sum is removed from the calculation as every school receives it so it doesn't get protected and national non domestic rates are removed as every school is funded at cost every year.</t>
  </si>
  <si>
    <t>Old Year Comparisson</t>
  </si>
  <si>
    <t>The Budget Summary tab includes a table to compare the 2026/27 budget allocation to the 2025/26 formula and 'rolled in' grants combined. This table shows how your total funding has changed on each factor and compares the total per pupil between the years.</t>
  </si>
  <si>
    <t>National Non Domestic Rates are included in the budget at cost for all schools. In 2026/27 Hackney will continue to use the new system of having this cost paid centrally so schools will not actually receive this funding and will not have to pay the bill. Schools are however still legally responsible for this cost so it is still included in the published budget and must be accounted for. The CFR tab details how to treat this income and cost for which no actual cash is transfered to or from the school.</t>
  </si>
  <si>
    <t>The de-delegation arrangements set out on the Budget Summary tab are the same as last year and will be used for the same purposes. It is important that de-delegation is recorded as a cost in each school with the total gross budget being recorded against the CFR code I01. Full details of the correct accounting treatment of this is included on the CFR tab.</t>
  </si>
  <si>
    <t>The remainder of the Budget Summary tab sets out our most up to date understanding of the other grants that schools are likely to receive. This list isn't exhaustive and schools will want to consider if there are any other grants that they may be eligible for. In the case of mainstream schools these grants are calculated at school level nationally and local authorities are paid the funds to 'passport' on to schools without any local decision making. Links are included to additional online information in each case.</t>
  </si>
  <si>
    <t>Future Years</t>
  </si>
  <si>
    <t>Schools will need to set a multi year budget and as such consider how much funding they anticipate in future years. As the school budget is almost entirley driven by the MFG it would seem reasonable to suggest using the MFG calculation to estimate future year budgets and this is the approach taken in the future years budget sections of the Budget Summary tab.</t>
  </si>
  <si>
    <t>Hackney Schools Block Dedicated Schools Grant Allocation</t>
  </si>
  <si>
    <t>The graphic below shows how the published allocation is utilised. All factors in the NFF must be used in the local funding formula but there are some factors for which there are no qualifying schools in Hackney so these are not shown on the Budget Summary tab and are shown here as £0.</t>
  </si>
  <si>
    <t>I hope the information on this tab has helped your understanding of the 2026/27 Hackney school budget allocations but further queries from Hackney schools are welcome at chris.scott@hackney.gov.uk</t>
  </si>
  <si>
    <t>Early Years Funding 2026/27 Guidance</t>
  </si>
  <si>
    <t>The early years indicative budget tab shows an illustrative budget which the council is required to provide to settings. This budget should be considered in the context that it is based on historic numbers, whereas in 2026/27 you will be funded on in year attendance. It is not appropriate to set the school budget based on the illustration, you need to consider the pupil numbers you are likely to have in year and populate the template.</t>
  </si>
  <si>
    <t>The first task is to complete the template on the Budget Summary tab. This will then provide a funding estimate that you should use to set the intial budget. This template should be updated in year as set out below and your budget monitoring should always reflect these figures. Estimate payments made during the year should not be used for budget monitoring purposes.</t>
  </si>
  <si>
    <t>The summer pupil numbers for 2 3 and 4 year olds will be easiest to populate as the pupils will mostly already be in the school when you are setting the budget. If appropriate, also consider further pupils that will be in the school in time for the summer census.</t>
  </si>
  <si>
    <t>The autumn pupil numbers are harder to enter as the movement of pupils over the summer will likely mean you are not certain of numbers. Enter numbers that the leadership of the school is happy are realistic and these can be revised as necessary during the year.</t>
  </si>
  <si>
    <t>The spring numbers are particularly difficult to predict but again enter pupil numbers that are generally considered realistic at this point.</t>
  </si>
  <si>
    <t>A lump sum will be paid for any eligible pupils for DAF after they first appear on the census during the year. This will be a one off payment and there will be three rounds of payments, one after each census. Keep in mind that if a pupil is admitted to the school during the financial year and a DAF payment has already been made to another setting there will not be a further payment until the following financial year.</t>
  </si>
  <si>
    <t>Enter the number of eligible pupils that you believe is realistic for each term for the Early Years Pupil Premium and the template will calculate a funding figure. The funding shown will be for 15 hours a week. The template assumes the pupils will all be attending for at least this number of hours although occasionaly this may not be the case.</t>
  </si>
  <si>
    <t>In April you will receive a summer estimate payment for 3&amp;4 year olds, under 3 year olds will continue to be funded separately as in previous years. The estimate will be based on the January 2026 census and is subject to ammendment at the end of term so your budget monitoring should continue to be based on the budget template.</t>
  </si>
  <si>
    <t>In August you will receive an adjustment payment for the actual 3&amp;4 year old summer hours based on the May 2026 census plus possibly some DAF lump sums also based on the same census. It may be that there is a zero adjustment if pupil numbers didn't change from the spring term and it is also possible the adjustment could be negative in which case it will be carried forward and offset against the Autumn estimate payment. The summer term EYPP will also be paid at this time.</t>
  </si>
  <si>
    <t>In September you should update the template so the summer funding reflects what has been paid and then review the remaining terms to consider if the numbers you set at the start of the year are still considered accurate. Update the template as necessary and then show the revised funding total in your budget monitoring.</t>
  </si>
  <si>
    <t>Also in September you will receive the estimate payment for 3&amp;4 year olds in the Autumn term. This is a particularly difficult term to predict centrally and the estimate payments may differ significantly, the pupils will now be in the school and you should be able to update the template accurately. The template total is to be used for budget monitoring not the estimate payment value.</t>
  </si>
  <si>
    <t>In January you will receive an adjustment payment to top up the autumn estimate payment to the appropriate level for the pupils recorded on the October 2026 census plus any further DAF lump sums that are due based on the same census. The autumn term EYPP will also bepaid at this time.</t>
  </si>
  <si>
    <t>Also in January you should update the autumn term numbers in the template to reflect the funding you have received and again reconsider the remaining estimated headcounts in the template updating them as necessary. Your budget monitoring should then be updated to reflect the new template total.</t>
  </si>
  <si>
    <t>Also in January you will receive the spring estimate payment for 3&amp;4 year olds. As with other esitmate payments do not use this figure for budget monitoring purposes.</t>
  </si>
  <si>
    <t>In late March the final census dataset from January 2026 will become available and the spring term adjustment will be paid to reflect the pupils in the census. In addition any outstanding DAF lump sums will be paid and so will the early years pupil premium for this term.</t>
  </si>
  <si>
    <t>This is an illustration based on historic data, in 2026/27 schools will be funded based on actual attendance in the period and both budget setting and monitoring should be based on school expectations of attendance.</t>
  </si>
  <si>
    <t>Early Years Block Indicative Budget</t>
  </si>
  <si>
    <t>Total Indicative Early Years Block Funding</t>
  </si>
  <si>
    <t>LAESTAB</t>
  </si>
  <si>
    <t>School Name</t>
  </si>
  <si>
    <t>Type</t>
  </si>
  <si>
    <t>Phase</t>
  </si>
  <si>
    <t>NOR Primary</t>
  </si>
  <si>
    <t>NOR KS3</t>
  </si>
  <si>
    <t>NOR KS4</t>
  </si>
  <si>
    <t>AWPU</t>
  </si>
  <si>
    <t>Primary FSM Units</t>
  </si>
  <si>
    <t>Secondary FSM Units</t>
  </si>
  <si>
    <t>FSM</t>
  </si>
  <si>
    <t>Primary FSM6 Units</t>
  </si>
  <si>
    <t>Secondary FSM6 Units</t>
  </si>
  <si>
    <t>FSM6</t>
  </si>
  <si>
    <t>IDACI Primary Units Band F</t>
  </si>
  <si>
    <t>IDACI Primary Units Band E</t>
  </si>
  <si>
    <t>IDACI Primary Units Band D</t>
  </si>
  <si>
    <t>IDACI Primary Units Band C</t>
  </si>
  <si>
    <t>IDACI Primary Units Band B</t>
  </si>
  <si>
    <t>IDACI Primary Units Band A</t>
  </si>
  <si>
    <t>IDACI Secondary Units Band F</t>
  </si>
  <si>
    <t>IDACI Secondary Units Band E</t>
  </si>
  <si>
    <t>IDACI Secondary Units Band D</t>
  </si>
  <si>
    <t>IDACI Secondary Units Band C</t>
  </si>
  <si>
    <t>IDACI Secondary Units Band B</t>
  </si>
  <si>
    <t>IDACI Secondary Units Band A</t>
  </si>
  <si>
    <t>IDACI TOTAL</t>
  </si>
  <si>
    <t>EAL 3 Primary Units</t>
  </si>
  <si>
    <t>EAL 3 Secondary Units</t>
  </si>
  <si>
    <t>EAL</t>
  </si>
  <si>
    <t>LPA Primary Units</t>
  </si>
  <si>
    <t>LPA Secondary Units</t>
  </si>
  <si>
    <t>Mobility Primary Units</t>
  </si>
  <si>
    <t>Mobility Secondary Units</t>
  </si>
  <si>
    <t>25/26 budget</t>
  </si>
  <si>
    <t>25/26 Protected grants</t>
  </si>
  <si>
    <t>25/26 rates</t>
  </si>
  <si>
    <t>26/27 lump</t>
  </si>
  <si>
    <t>25/26 baseline</t>
  </si>
  <si>
    <t>25-26 NOR</t>
  </si>
  <si>
    <t>MFG per pupil</t>
  </si>
  <si>
    <t>Protected per pupil</t>
  </si>
  <si>
    <t>Multiplied up</t>
  </si>
  <si>
    <t>26/27 rates</t>
  </si>
  <si>
    <t>TOTAL</t>
  </si>
  <si>
    <t>For School Contingencies @ £12.02 per pupil</t>
  </si>
  <si>
    <t>For UPEG/bilingual learners @ £86.00 per EAL pupil</t>
  </si>
  <si>
    <t>Free school meals eligibility service @ £3.38 per pupil</t>
  </si>
  <si>
    <t>Licences/subscriptions @ £3.02 per pupil</t>
  </si>
  <si>
    <t>For Trade Union Supply Cover @ £8.80 per pupil</t>
  </si>
  <si>
    <t>For School Improvement (SRAS) @ £26.10 per pupil</t>
  </si>
  <si>
    <t>OLD NOR</t>
  </si>
  <si>
    <t>OLD Primary AWPU</t>
  </si>
  <si>
    <t>OLD KS3 AWPU</t>
  </si>
  <si>
    <t>OLD KS4 AWPU</t>
  </si>
  <si>
    <t>OLD FSM</t>
  </si>
  <si>
    <t>OLD FSM6</t>
  </si>
  <si>
    <t>OLD IDACI  Cash Band F</t>
  </si>
  <si>
    <t>OLD IDACI  Cash Band E</t>
  </si>
  <si>
    <t>OLD IDACI  Cash Band D</t>
  </si>
  <si>
    <t>OLD IDACI  Cash Band C</t>
  </si>
  <si>
    <t>OLD IDACI  Cash Band B</t>
  </si>
  <si>
    <t>OLD IDACI  Cash Band A</t>
  </si>
  <si>
    <t>OLD EAL</t>
  </si>
  <si>
    <t>OLD LPA</t>
  </si>
  <si>
    <t>OLD Mobility</t>
  </si>
  <si>
    <t>OLD Lump Sum</t>
  </si>
  <si>
    <t>OLD NNDR</t>
  </si>
  <si>
    <t>OLD MFG</t>
  </si>
  <si>
    <t>OLD TOTAL</t>
  </si>
  <si>
    <t>Grants Primary AWPU</t>
  </si>
  <si>
    <t>Grants KS3 AWPU</t>
  </si>
  <si>
    <t>Grants KS4 AWPU</t>
  </si>
  <si>
    <t>Grants FSM6</t>
  </si>
  <si>
    <t>Grants Lump sum</t>
  </si>
  <si>
    <t>2023/34 AY Places</t>
  </si>
  <si>
    <t>Grants Total</t>
  </si>
  <si>
    <t>PE &amp; Sport</t>
  </si>
  <si>
    <t>RP Rate</t>
  </si>
  <si>
    <t>Total 3&amp;4</t>
  </si>
  <si>
    <t>Summer 3&amp;4 15</t>
  </si>
  <si>
    <t>Summer 3&amp;4 30</t>
  </si>
  <si>
    <t>Summer 2 Additional 15</t>
  </si>
  <si>
    <t>Summer 2 Working 30</t>
  </si>
  <si>
    <t>Autumn 3&amp;4 15</t>
  </si>
  <si>
    <t>Autumn 3&amp;4 30</t>
  </si>
  <si>
    <t>Autumn 2 Additional 15</t>
  </si>
  <si>
    <t>Autumn 2 Working 30</t>
  </si>
  <si>
    <t>Spring 3&amp;4 15</t>
  </si>
  <si>
    <t>Spring 3&amp;4 30</t>
  </si>
  <si>
    <t>Spring 2 Additional 15</t>
  </si>
  <si>
    <t>Spring 2 Working 30</t>
  </si>
  <si>
    <t>EYPP Summer</t>
  </si>
  <si>
    <t>EYPP Autumn</t>
  </si>
  <si>
    <t>EYPP Spring</t>
  </si>
  <si>
    <t>Berger Primary School</t>
  </si>
  <si>
    <t>School</t>
  </si>
  <si>
    <t>Daubeney Primary School</t>
  </si>
  <si>
    <t>Gainsborough Primary School</t>
  </si>
  <si>
    <t>Lauriston School</t>
  </si>
  <si>
    <t>London Fields Primary School</t>
  </si>
  <si>
    <t>Millfields Community School</t>
  </si>
  <si>
    <t>Morningside Primary School</t>
  </si>
  <si>
    <t>Orchard Primary School</t>
  </si>
  <si>
    <t>Queensbridge Primary School</t>
  </si>
  <si>
    <t>Princess May Primary School</t>
  </si>
  <si>
    <t>Rushmore Primary School</t>
  </si>
  <si>
    <t>Gayhurst Community School</t>
  </si>
  <si>
    <t>Sebright School</t>
  </si>
  <si>
    <t>Shacklewell Primary School</t>
  </si>
  <si>
    <t>Southwold Primary School</t>
  </si>
  <si>
    <t>Thomas Fairchild Community School</t>
  </si>
  <si>
    <t>Shoreditch Park Primary School</t>
  </si>
  <si>
    <t>Woodberry Down Community Primary School</t>
  </si>
  <si>
    <t>Kingsmead Primary School</t>
  </si>
  <si>
    <t>Grasmere Primary School</t>
  </si>
  <si>
    <t>Jubilee Primary School</t>
  </si>
  <si>
    <t>Nightingale Primary School</t>
  </si>
  <si>
    <t>Harrington Hill Primary School</t>
  </si>
  <si>
    <t>Holmleigh Primary School</t>
  </si>
  <si>
    <t>Grazebrook Primary School</t>
  </si>
  <si>
    <t>Parkwood Primary School</t>
  </si>
  <si>
    <t>Benthal Primary School</t>
  </si>
  <si>
    <t>Mandeville Primary School</t>
  </si>
  <si>
    <t>William Patten Primary School</t>
  </si>
  <si>
    <t>Hoxton Garden Primary</t>
  </si>
  <si>
    <t>Betty Layward Primary School</t>
  </si>
  <si>
    <t>St John and St James CofE Primary School</t>
  </si>
  <si>
    <t>Holy Trinity Church of England Primary School</t>
  </si>
  <si>
    <t>Our Lady and St Joseph Catholic Primary School</t>
  </si>
  <si>
    <t>St John the Baptist Voluntary Aided Church of England Primary School</t>
  </si>
  <si>
    <t>St Matthias Church of England Primary School</t>
  </si>
  <si>
    <t>St. Paul's With St. Michael's CofE Primary School</t>
  </si>
  <si>
    <t>St John of Jerusalem Church of England Primary School</t>
  </si>
  <si>
    <t>St Scholastica's Catholic Primary School</t>
  </si>
  <si>
    <t>Simon Marks Jewish Primary School</t>
  </si>
  <si>
    <t>Springfield Community Primary School</t>
  </si>
  <si>
    <t>Stoke Newington School and Sixth Form</t>
  </si>
  <si>
    <t>Secondary</t>
  </si>
  <si>
    <t>Yesodey Hatorah Senior Girls School</t>
  </si>
  <si>
    <t>All Saints Catholic High School</t>
  </si>
  <si>
    <t>The Urswick School - A Church of England Secondary School</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</si>
</sst>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809]#,##0"/>
    <numFmt numFmtId="165" formatCode="[$£-809]#,##0.00"/>
    <numFmt numFmtId="166" formatCode="0.0"/>
    <numFmt numFmtId="167" formatCode="&quot;£&quot;#,##0"/>
    <numFmt numFmtId="168" formatCode="mmmm\ yyyy"/>
    <numFmt numFmtId="169" formatCode="#,##0.0000"/>
    <numFmt numFmtId="170" formatCode="&quot;£&quot;#,##0.00"/>
  </numFmts>
  <fonts count="13">
    <font>
      <sz val="11.0"/>
      <color theme="1"/>
      <name val="Calibri"/>
      <scheme val="minor"/>
    </font>
    <font>
      <sz val="12.0"/>
      <color theme="1"/>
      <name val="Arial"/>
    </font>
    <font>
      <sz val="12.0"/>
      <color theme="0"/>
      <name val="Arial"/>
    </font>
    <font>
      <b/>
      <sz val="12.0"/>
      <color theme="1"/>
      <name val="Arial"/>
    </font>
    <font/>
    <font>
      <sz val="11.0"/>
      <color theme="1"/>
      <name val="Calibri"/>
    </font>
    <font>
      <b/>
      <sz val="18.0"/>
      <color theme="1"/>
      <name val="Arial"/>
    </font>
    <font>
      <sz val="12.0"/>
      <color rgb="FF000000"/>
      <name val="Arial"/>
    </font>
    <font>
      <u/>
      <sz val="12.0"/>
      <color rgb="FF0000FF"/>
      <name val="Arial"/>
    </font>
    <font>
      <i/>
      <sz val="9.0"/>
      <color theme="1"/>
      <name val="Arial"/>
    </font>
    <font>
      <u/>
      <sz val="12.0"/>
      <color rgb="FF0000FF"/>
      <name val="Arial"/>
    </font>
    <font>
      <i/>
      <sz val="10.0"/>
      <color theme="1"/>
      <name val="Arial"/>
    </font>
    <font>
      <sz val="10.0"/>
      <color theme="1"/>
      <name val="Arial"/>
    </font>
  </fonts>
  <fills count="5">
    <fill>
      <patternFill patternType="none"/>
    </fill>
    <fill>
      <patternFill patternType="lightGray"/>
    </fill>
    <fill>
      <patternFill patternType="solid">
        <fgColor rgb="FFCFE2F3"/>
        <bgColor rgb="FFCFE2F3"/>
      </patternFill>
    </fill>
    <fill>
      <patternFill patternType="solid">
        <fgColor rgb="FFD9D9D9"/>
        <bgColor rgb="FFD9D9D9"/>
      </patternFill>
    </fill>
    <fill>
      <patternFill patternType="solid">
        <fgColor rgb="FFD9EAD3"/>
        <bgColor rgb="FFD9EAD3"/>
      </patternFill>
    </fill>
  </fills>
  <borders count="13">
    <border/>
    <border>
      <left style="thin">
        <color rgb="FF000000"/>
      </left>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top style="thin">
        <color rgb="FF000000"/>
      </top>
    </border>
    <border>
      <bottom style="thin">
        <color rgb="FF000000"/>
      </bottom>
    </border>
    <border>
      <left/>
      <right/>
      <top/>
      <bottom/>
    </border>
    <border>
      <left style="thin">
        <color rgb="FF000000"/>
      </left>
      <top style="thin">
        <color rgb="FF000000"/>
      </top>
      <bottom style="thin">
        <color rgb="FF000000"/>
      </bottom>
    </border>
    <border>
      <top style="thin">
        <color rgb="FF000000"/>
      </top>
      <bottom style="thin">
        <color rgb="FF000000"/>
      </bottom>
    </border>
  </borders>
  <cellStyleXfs count="1">
    <xf borderId="0" fillId="0" fontId="0" numFmtId="0" applyAlignment="1" applyFont="1"/>
  </cellStyleXfs>
  <cellXfs count="123">
    <xf borderId="0" fillId="0" fontId="0" numFmtId="0" xfId="0" applyAlignment="1" applyFont="1">
      <alignment readingOrder="0" shrinkToFit="0" vertical="bottom" wrapText="0"/>
    </xf>
    <xf borderId="0" fillId="0" fontId="1" numFmtId="0" xfId="0" applyFont="1"/>
    <xf borderId="0" fillId="0" fontId="2" numFmtId="0" xfId="0" applyFont="1"/>
    <xf borderId="0" fillId="0" fontId="3" numFmtId="0" xfId="0" applyFont="1"/>
    <xf borderId="1" fillId="2" fontId="1" numFmtId="0" xfId="0" applyAlignment="1" applyBorder="1" applyFill="1" applyFont="1">
      <alignment horizontal="center" readingOrder="0"/>
    </xf>
    <xf borderId="1" fillId="0" fontId="1" numFmtId="0" xfId="0" applyAlignment="1" applyBorder="1" applyFont="1">
      <alignment readingOrder="0"/>
    </xf>
    <xf borderId="2" fillId="0" fontId="1" numFmtId="0" xfId="0" applyAlignment="1" applyBorder="1" applyFont="1">
      <alignment readingOrder="0" shrinkToFit="0" vertical="top" wrapText="1"/>
    </xf>
    <xf borderId="3" fillId="0" fontId="4" numFmtId="0" xfId="0" applyBorder="1" applyFont="1"/>
    <xf borderId="0" fillId="0" fontId="5" numFmtId="0" xfId="0" applyFont="1"/>
    <xf borderId="4" fillId="0" fontId="4" numFmtId="0" xfId="0" applyBorder="1" applyFont="1"/>
    <xf borderId="5" fillId="0" fontId="4" numFmtId="0" xfId="0" applyBorder="1" applyFont="1"/>
    <xf borderId="0" fillId="0" fontId="6" numFmtId="0" xfId="0" applyFont="1"/>
    <xf borderId="6" fillId="0" fontId="4" numFmtId="0" xfId="0" applyBorder="1" applyFont="1"/>
    <xf borderId="7" fillId="0" fontId="4" numFmtId="0" xfId="0" applyBorder="1" applyFont="1"/>
    <xf borderId="2" fillId="0" fontId="3" numFmtId="0" xfId="0" applyBorder="1" applyFont="1"/>
    <xf borderId="8" fillId="0" fontId="1" numFmtId="0" xfId="0" applyBorder="1" applyFont="1"/>
    <xf borderId="3" fillId="0" fontId="1" numFmtId="0" xfId="0" applyBorder="1" applyFont="1"/>
    <xf borderId="2" fillId="0" fontId="3" numFmtId="0" xfId="0" applyAlignment="1" applyBorder="1" applyFont="1">
      <alignment readingOrder="0"/>
    </xf>
    <xf borderId="4" fillId="0" fontId="1" numFmtId="0" xfId="0" applyBorder="1" applyFont="1"/>
    <xf borderId="5" fillId="0" fontId="1" numFmtId="0" xfId="0" applyBorder="1" applyFont="1"/>
    <xf borderId="4" fillId="0" fontId="3" numFmtId="0" xfId="0" applyBorder="1" applyFont="1"/>
    <xf borderId="4" fillId="0" fontId="1" numFmtId="0" xfId="0" applyAlignment="1" applyBorder="1" applyFont="1">
      <alignment readingOrder="0"/>
    </xf>
    <xf quotePrefix="1" borderId="0" fillId="0" fontId="1" numFmtId="0" xfId="0" applyAlignment="1" applyFont="1">
      <alignment readingOrder="0"/>
    </xf>
    <xf borderId="5" fillId="0" fontId="3" numFmtId="0" xfId="0" applyBorder="1" applyFont="1"/>
    <xf borderId="0" fillId="0" fontId="1" numFmtId="164" xfId="0" applyFont="1" applyNumberFormat="1"/>
    <xf borderId="5" fillId="0" fontId="1" numFmtId="164" xfId="0" applyBorder="1" applyFont="1" applyNumberFormat="1"/>
    <xf borderId="0" fillId="0" fontId="7" numFmtId="1" xfId="0" applyFont="1" applyNumberFormat="1"/>
    <xf borderId="0" fillId="0" fontId="1" numFmtId="165" xfId="0" applyFont="1" applyNumberFormat="1"/>
    <xf borderId="4" fillId="0" fontId="1" numFmtId="9" xfId="0" applyBorder="1" applyFont="1" applyNumberFormat="1"/>
    <xf borderId="4" fillId="0" fontId="1" numFmtId="164" xfId="0" applyBorder="1" applyFont="1" applyNumberFormat="1"/>
    <xf borderId="5" fillId="0" fontId="3" numFmtId="164" xfId="0" applyBorder="1" applyFont="1" applyNumberFormat="1"/>
    <xf borderId="0" fillId="0" fontId="7" numFmtId="0" xfId="0" applyFont="1"/>
    <xf borderId="6" fillId="0" fontId="1" numFmtId="0" xfId="0" applyBorder="1" applyFont="1"/>
    <xf borderId="7" fillId="0" fontId="3" numFmtId="164" xfId="0" applyBorder="1" applyFont="1" applyNumberFormat="1"/>
    <xf borderId="4" fillId="0" fontId="5" numFmtId="0" xfId="0" applyBorder="1" applyFont="1"/>
    <xf borderId="9" fillId="0" fontId="1" numFmtId="0" xfId="0" applyBorder="1" applyFont="1"/>
    <xf borderId="9" fillId="0" fontId="1" numFmtId="10" xfId="0" applyBorder="1" applyFont="1" applyNumberFormat="1"/>
    <xf borderId="7" fillId="0" fontId="1" numFmtId="0" xfId="0" applyBorder="1" applyFont="1"/>
    <xf borderId="2" fillId="0" fontId="1" numFmtId="0" xfId="0" applyBorder="1" applyFont="1"/>
    <xf borderId="4" fillId="0" fontId="3" numFmtId="0" xfId="0" applyAlignment="1" applyBorder="1" applyFont="1">
      <alignment horizontal="right"/>
    </xf>
    <xf borderId="5" fillId="0" fontId="3" numFmtId="0" xfId="0" applyAlignment="1" applyBorder="1" applyFont="1">
      <alignment horizontal="right"/>
    </xf>
    <xf quotePrefix="1" borderId="5" fillId="0" fontId="3" numFmtId="0" xfId="0" applyAlignment="1" applyBorder="1" applyFont="1">
      <alignment horizontal="right"/>
    </xf>
    <xf borderId="5" fillId="0" fontId="7" numFmtId="1" xfId="0" applyBorder="1" applyFont="1" applyNumberFormat="1"/>
    <xf borderId="6" fillId="0" fontId="3" numFmtId="0" xfId="0" applyAlignment="1" applyBorder="1" applyFont="1">
      <alignment horizontal="right"/>
    </xf>
    <xf quotePrefix="1" borderId="7" fillId="0" fontId="3" numFmtId="0" xfId="0" applyAlignment="1" applyBorder="1" applyFont="1">
      <alignment horizontal="right"/>
    </xf>
    <xf borderId="4" fillId="0" fontId="7" numFmtId="0" xfId="0" applyBorder="1" applyFont="1"/>
    <xf borderId="0" fillId="0" fontId="1" numFmtId="1" xfId="0" applyFont="1" applyNumberFormat="1"/>
    <xf borderId="0" fillId="0" fontId="3" numFmtId="0" xfId="0" applyAlignment="1" applyFont="1">
      <alignment horizontal="center"/>
    </xf>
    <xf borderId="5" fillId="0" fontId="3" numFmtId="0" xfId="0" applyAlignment="1" applyBorder="1" applyFont="1">
      <alignment horizontal="center"/>
    </xf>
    <xf borderId="0" fillId="0" fontId="1" numFmtId="165" xfId="0" applyAlignment="1" applyFont="1" applyNumberFormat="1">
      <alignment readingOrder="0"/>
    </xf>
    <xf borderId="0" fillId="0" fontId="1" numFmtId="9" xfId="0" applyFont="1" applyNumberFormat="1"/>
    <xf borderId="5" fillId="0" fontId="1" numFmtId="165" xfId="0" applyBorder="1" applyFont="1" applyNumberFormat="1"/>
    <xf borderId="5" fillId="0" fontId="3" numFmtId="165" xfId="0" applyBorder="1" applyFont="1" applyNumberFormat="1"/>
    <xf borderId="5" fillId="0" fontId="3" numFmtId="165" xfId="0" applyAlignment="1" applyBorder="1" applyFont="1" applyNumberFormat="1">
      <alignment readingOrder="0"/>
    </xf>
    <xf borderId="5" fillId="0" fontId="1" numFmtId="164" xfId="0" applyAlignment="1" applyBorder="1" applyFont="1" applyNumberFormat="1">
      <alignment horizontal="center"/>
    </xf>
    <xf borderId="3" fillId="0" fontId="1" numFmtId="164" xfId="0" applyBorder="1" applyFont="1" applyNumberFormat="1"/>
    <xf borderId="0" fillId="0" fontId="1" numFmtId="0" xfId="0" applyAlignment="1" applyFont="1">
      <alignment readingOrder="0"/>
    </xf>
    <xf borderId="0" fillId="0" fontId="1" numFmtId="0" xfId="0" applyAlignment="1" applyFont="1">
      <alignment horizontal="center"/>
    </xf>
    <xf borderId="6" fillId="0" fontId="3" numFmtId="0" xfId="0" applyBorder="1" applyFont="1"/>
    <xf borderId="1" fillId="2" fontId="1" numFmtId="0" xfId="0" applyAlignment="1" applyBorder="1" applyFont="1">
      <alignment horizontal="center"/>
    </xf>
    <xf borderId="0" fillId="0" fontId="1" numFmtId="166" xfId="0" applyAlignment="1" applyFont="1" applyNumberFormat="1">
      <alignment horizontal="center"/>
    </xf>
    <xf borderId="4" fillId="0" fontId="1" numFmtId="0" xfId="0" applyAlignment="1" applyBorder="1" applyFont="1">
      <alignment readingOrder="0" shrinkToFit="0" vertical="top" wrapText="1"/>
    </xf>
    <xf quotePrefix="1" borderId="4" fillId="0" fontId="1" numFmtId="0" xfId="0" applyAlignment="1" applyBorder="1" applyFont="1">
      <alignment readingOrder="0"/>
    </xf>
    <xf borderId="5" fillId="0" fontId="1" numFmtId="167" xfId="0" applyBorder="1" applyFont="1" applyNumberFormat="1"/>
    <xf borderId="6" fillId="0" fontId="1" numFmtId="0" xfId="0" applyAlignment="1" applyBorder="1" applyFont="1">
      <alignment readingOrder="0"/>
    </xf>
    <xf borderId="4" fillId="0" fontId="8" numFmtId="0" xfId="0" applyBorder="1" applyFont="1"/>
    <xf borderId="0" fillId="0" fontId="9" numFmtId="0" xfId="0" applyFont="1"/>
    <xf borderId="9" fillId="0" fontId="3" numFmtId="0" xfId="0" applyBorder="1" applyFont="1"/>
    <xf borderId="9" fillId="0" fontId="1" numFmtId="164" xfId="0" applyBorder="1" applyFont="1" applyNumberFormat="1"/>
    <xf borderId="4" fillId="0" fontId="10" numFmtId="0" xfId="0" applyAlignment="1" applyBorder="1" applyFont="1">
      <alignment readingOrder="0"/>
    </xf>
    <xf borderId="0" fillId="0" fontId="1" numFmtId="168" xfId="0" applyAlignment="1" applyFont="1" applyNumberFormat="1">
      <alignment readingOrder="0"/>
    </xf>
    <xf borderId="10" fillId="0" fontId="7" numFmtId="0" xfId="0" applyBorder="1" applyFont="1"/>
    <xf borderId="6" fillId="0" fontId="3" numFmtId="0" xfId="0" applyAlignment="1" applyBorder="1" applyFont="1">
      <alignment readingOrder="0"/>
    </xf>
    <xf borderId="7" fillId="0" fontId="3" numFmtId="165" xfId="0" applyBorder="1" applyFont="1" applyNumberFormat="1"/>
    <xf borderId="11" fillId="0" fontId="3" numFmtId="0" xfId="0" applyBorder="1" applyFont="1"/>
    <xf borderId="12" fillId="0" fontId="1" numFmtId="0" xfId="0" applyBorder="1" applyFont="1"/>
    <xf borderId="1" fillId="2" fontId="3" numFmtId="164" xfId="0" applyAlignment="1" applyBorder="1" applyFont="1" applyNumberFormat="1">
      <alignment horizontal="center"/>
    </xf>
    <xf borderId="0" fillId="0" fontId="11" numFmtId="0" xfId="0" applyFont="1"/>
    <xf borderId="5" fillId="0" fontId="1" numFmtId="1" xfId="0" applyBorder="1" applyFont="1" applyNumberFormat="1"/>
    <xf borderId="1" fillId="2" fontId="1" numFmtId="1" xfId="0" applyAlignment="1" applyBorder="1" applyFont="1" applyNumberFormat="1">
      <alignment horizontal="center"/>
    </xf>
    <xf borderId="0" fillId="0" fontId="12" numFmtId="0" xfId="0" applyFont="1"/>
    <xf borderId="1" fillId="2" fontId="1" numFmtId="10" xfId="0" applyAlignment="1" applyBorder="1" applyFont="1" applyNumberFormat="1">
      <alignment horizontal="center"/>
    </xf>
    <xf borderId="0" fillId="0" fontId="2" numFmtId="169" xfId="0" applyFont="1" applyNumberFormat="1"/>
    <xf borderId="5" fillId="0" fontId="1" numFmtId="10" xfId="0" applyBorder="1" applyFont="1" applyNumberFormat="1"/>
    <xf borderId="4" fillId="0" fontId="3" numFmtId="0" xfId="0" applyAlignment="1" applyBorder="1" applyFont="1">
      <alignment readingOrder="0"/>
    </xf>
    <xf borderId="2" fillId="0" fontId="3" numFmtId="0" xfId="0" applyAlignment="1" applyBorder="1" applyFont="1">
      <alignment horizontal="right"/>
    </xf>
    <xf borderId="3" fillId="0" fontId="3" numFmtId="0" xfId="0" applyAlignment="1" applyBorder="1" applyFont="1">
      <alignment horizontal="right"/>
    </xf>
    <xf borderId="0" fillId="0" fontId="1" numFmtId="0" xfId="0" applyAlignment="1" applyFont="1">
      <alignment shrinkToFit="0" wrapText="1"/>
    </xf>
    <xf borderId="0" fillId="0" fontId="3" numFmtId="0" xfId="0" applyAlignment="1" applyFont="1">
      <alignment shrinkToFit="0" wrapText="1"/>
    </xf>
    <xf borderId="0" fillId="0" fontId="1" numFmtId="0" xfId="0" applyAlignment="1" applyFont="1">
      <alignment readingOrder="0" shrinkToFit="0" wrapText="1"/>
    </xf>
    <xf borderId="0" fillId="0" fontId="3" numFmtId="0" xfId="0" applyAlignment="1" applyFont="1">
      <alignment readingOrder="0"/>
    </xf>
    <xf borderId="2" fillId="3" fontId="3" numFmtId="0" xfId="0" applyBorder="1" applyFill="1" applyFont="1"/>
    <xf borderId="8" fillId="3" fontId="1" numFmtId="0" xfId="0" applyBorder="1" applyFont="1"/>
    <xf borderId="3" fillId="3" fontId="1" numFmtId="0" xfId="0" applyBorder="1" applyFont="1"/>
    <xf borderId="4" fillId="3" fontId="1" numFmtId="0" xfId="0" applyBorder="1" applyFont="1"/>
    <xf borderId="0" fillId="3" fontId="3" numFmtId="0" xfId="0" applyFont="1"/>
    <xf borderId="0" fillId="3" fontId="1" numFmtId="0" xfId="0" applyFont="1"/>
    <xf borderId="5" fillId="3" fontId="1" numFmtId="164" xfId="0" applyBorder="1" applyFont="1" applyNumberFormat="1"/>
    <xf borderId="4" fillId="3" fontId="3" numFmtId="0" xfId="0" applyBorder="1" applyFont="1"/>
    <xf borderId="0" fillId="3" fontId="3" numFmtId="0" xfId="0" applyAlignment="1" applyFont="1">
      <alignment horizontal="center"/>
    </xf>
    <xf borderId="5" fillId="3" fontId="3" numFmtId="0" xfId="0" applyAlignment="1" applyBorder="1" applyFont="1">
      <alignment horizontal="center"/>
    </xf>
    <xf borderId="0" fillId="3" fontId="1" numFmtId="165" xfId="0" applyFont="1" applyNumberFormat="1"/>
    <xf borderId="0" fillId="3" fontId="1" numFmtId="9" xfId="0" applyFont="1" applyNumberFormat="1"/>
    <xf borderId="5" fillId="3" fontId="1" numFmtId="165" xfId="0" applyBorder="1" applyFont="1" applyNumberFormat="1"/>
    <xf borderId="5" fillId="3" fontId="3" numFmtId="165" xfId="0" applyBorder="1" applyFont="1" applyNumberFormat="1"/>
    <xf borderId="5" fillId="3" fontId="1" numFmtId="164" xfId="0" applyAlignment="1" applyBorder="1" applyFont="1" applyNumberFormat="1">
      <alignment horizontal="center"/>
    </xf>
    <xf borderId="0" fillId="3" fontId="1" numFmtId="0" xfId="0" applyAlignment="1" applyFont="1">
      <alignment horizontal="center"/>
    </xf>
    <xf borderId="3" fillId="3" fontId="1" numFmtId="164" xfId="0" applyBorder="1" applyFont="1" applyNumberFormat="1"/>
    <xf borderId="4" fillId="3" fontId="1" numFmtId="0" xfId="0" applyAlignment="1" applyBorder="1" applyFont="1">
      <alignment readingOrder="0"/>
    </xf>
    <xf borderId="0" fillId="3" fontId="1" numFmtId="0" xfId="0" applyAlignment="1" applyFont="1">
      <alignment readingOrder="0"/>
    </xf>
    <xf borderId="6" fillId="3" fontId="3" numFmtId="0" xfId="0" applyBorder="1" applyFont="1"/>
    <xf borderId="9" fillId="3" fontId="1" numFmtId="0" xfId="0" applyBorder="1" applyFont="1"/>
    <xf borderId="7" fillId="3" fontId="3" numFmtId="164" xfId="0" applyBorder="1" applyFont="1" applyNumberFormat="1"/>
    <xf borderId="0" fillId="4" fontId="1" numFmtId="0" xfId="0" applyFill="1" applyFont="1"/>
    <xf borderId="10" fillId="4" fontId="1" numFmtId="0" xfId="0" applyBorder="1" applyFont="1"/>
    <xf borderId="0" fillId="4" fontId="1" numFmtId="0" xfId="0" applyAlignment="1" applyFont="1">
      <alignment readingOrder="0"/>
    </xf>
    <xf borderId="0" fillId="4" fontId="1" numFmtId="170" xfId="0" applyAlignment="1" applyFont="1" applyNumberFormat="1">
      <alignment readingOrder="0"/>
    </xf>
    <xf borderId="0" fillId="4" fontId="1" numFmtId="1" xfId="0" applyAlignment="1" applyFont="1" applyNumberFormat="1">
      <alignment readingOrder="0"/>
    </xf>
    <xf borderId="10" fillId="4" fontId="1" numFmtId="1" xfId="0" applyBorder="1" applyFont="1" applyNumberFormat="1"/>
    <xf borderId="0" fillId="4" fontId="1" numFmtId="170" xfId="0" applyFont="1" applyNumberFormat="1"/>
    <xf borderId="0" fillId="4" fontId="1" numFmtId="1" xfId="0" applyFont="1" applyNumberFormat="1"/>
    <xf borderId="0" fillId="0" fontId="1" numFmtId="10" xfId="0" applyFont="1" applyNumberFormat="1"/>
    <xf borderId="0" fillId="0" fontId="1" numFmtId="170"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externalLink" Target="externalLinks/externalLink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xdr:colOff>
      <xdr:row>35</xdr:row>
      <xdr:rowOff>104775</xdr:rowOff>
    </xdr:from>
    <xdr:ext cx="5200650" cy="58578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Budget%20202324"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Budget 202324"/>
    </sheetNames>
    <sheetDataSet>
      <sheetData sheetId="0"/>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publications/pupil-premium/pupil-premium" TargetMode="External"/><Relationship Id="rId2" Type="http://schemas.openxmlformats.org/officeDocument/2006/relationships/hyperlink" Target="https://www.gov.uk/government/publications/universal-infant-free-school-meals-uifsm-2025-to-2026" TargetMode="External"/><Relationship Id="rId3" Type="http://schemas.openxmlformats.org/officeDocument/2006/relationships/hyperlink" Target="https://www.gov.uk/guidance/pe-and-sport-premium-for-primary-school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pageSetUpPr/>
  </sheetPr>
  <sheetViews>
    <sheetView showGridLines="0" workbookViewId="0"/>
  </sheetViews>
  <sheetFormatPr customHeight="1" defaultColWidth="14.43" defaultRowHeight="15.0"/>
  <cols>
    <col customWidth="1" min="1" max="1" width="6.57"/>
    <col customWidth="1" min="2" max="2" width="60.29"/>
    <col customWidth="1" min="3" max="3" width="28.43"/>
    <col customWidth="1" min="4" max="4" width="26.57"/>
    <col customWidth="1" min="5" max="5" width="28.71"/>
    <col customWidth="1" min="6" max="6" width="31.86"/>
    <col customWidth="1" min="10" max="10" width="16.43"/>
    <col customWidth="1" min="11" max="11" width="24.29"/>
    <col customWidth="1" min="12" max="12" width="40.71"/>
    <col customWidth="1" min="13" max="13" width="29.0"/>
    <col customWidth="1" min="14" max="14" width="13.29"/>
  </cols>
  <sheetData>
    <row r="1">
      <c r="A1" s="1"/>
      <c r="B1" s="1"/>
      <c r="C1" s="1"/>
      <c r="D1" s="1"/>
      <c r="E1" s="1"/>
      <c r="F1" s="1"/>
      <c r="G1" s="1"/>
      <c r="H1" s="1"/>
      <c r="I1" s="1"/>
      <c r="J1" s="1"/>
      <c r="K1" s="1"/>
      <c r="L1" s="1"/>
      <c r="M1" s="1"/>
      <c r="N1" s="1"/>
      <c r="O1" s="1"/>
      <c r="P1" s="1"/>
      <c r="Q1" s="1"/>
      <c r="R1" s="1"/>
      <c r="S1" s="1"/>
      <c r="T1" s="1"/>
      <c r="U1" s="1"/>
      <c r="V1" s="1"/>
      <c r="W1" s="1"/>
      <c r="X1" s="1"/>
      <c r="Y1" s="1"/>
      <c r="Z1" s="1"/>
    </row>
    <row r="2">
      <c r="A2" s="2">
        <f>IFERROR(VLOOKUP(C2,#REF!,111,0),0)</f>
        <v>0</v>
      </c>
      <c r="B2" s="3" t="s">
        <v>0</v>
      </c>
      <c r="C2" s="4">
        <v>2042897.0</v>
      </c>
      <c r="D2" s="1"/>
      <c r="E2" s="1"/>
      <c r="F2" s="1"/>
      <c r="G2" s="1"/>
      <c r="H2" s="1"/>
      <c r="I2" s="1"/>
      <c r="J2" s="1"/>
      <c r="K2" s="1"/>
      <c r="L2" s="5" t="s">
        <v>1</v>
      </c>
      <c r="M2" s="6" t="s">
        <v>2</v>
      </c>
      <c r="N2" s="7"/>
      <c r="O2" s="1"/>
      <c r="P2" s="1"/>
      <c r="Q2" s="1"/>
      <c r="R2" s="1"/>
      <c r="S2" s="1"/>
      <c r="T2" s="1"/>
      <c r="U2" s="1"/>
      <c r="V2" s="1"/>
      <c r="W2" s="1"/>
      <c r="X2" s="1"/>
      <c r="Y2" s="1"/>
      <c r="Z2" s="1"/>
    </row>
    <row r="3">
      <c r="A3" s="1"/>
      <c r="B3" s="1"/>
      <c r="C3" s="1"/>
      <c r="D3" s="1"/>
      <c r="E3" s="1"/>
      <c r="F3" s="1"/>
      <c r="G3" s="1"/>
      <c r="H3" s="1"/>
      <c r="I3" s="1"/>
      <c r="J3" s="8"/>
      <c r="K3" s="8"/>
      <c r="M3" s="9"/>
      <c r="N3" s="10"/>
      <c r="O3" s="1"/>
      <c r="P3" s="1"/>
      <c r="Q3" s="1"/>
      <c r="R3" s="1"/>
      <c r="S3" s="1"/>
      <c r="T3" s="1"/>
      <c r="U3" s="1"/>
      <c r="V3" s="1"/>
      <c r="W3" s="1"/>
      <c r="X3" s="1"/>
      <c r="Y3" s="1"/>
      <c r="Z3" s="1"/>
    </row>
    <row r="4">
      <c r="A4" s="1"/>
      <c r="B4" s="1"/>
      <c r="C4" s="1"/>
      <c r="D4" s="1"/>
      <c r="E4" s="1"/>
      <c r="F4" s="1"/>
      <c r="G4" s="1"/>
      <c r="H4" s="1"/>
      <c r="I4" s="1"/>
      <c r="J4" s="1"/>
      <c r="K4" s="8"/>
      <c r="L4" s="1"/>
      <c r="M4" s="9"/>
      <c r="N4" s="10"/>
      <c r="O4" s="1"/>
      <c r="P4" s="1"/>
      <c r="Q4" s="1"/>
      <c r="R4" s="1"/>
      <c r="S4" s="1"/>
      <c r="T4" s="1"/>
      <c r="U4" s="1"/>
      <c r="V4" s="1"/>
      <c r="W4" s="1"/>
      <c r="X4" s="1"/>
      <c r="Y4" s="1"/>
      <c r="Z4" s="1"/>
    </row>
    <row r="5" ht="51.0" customHeight="1">
      <c r="A5" s="1"/>
      <c r="B5" s="11" t="str">
        <f>IFERROR(VLOOKUP($C$2,Lookups!$A:$CR,2,0),"")</f>
        <v>William Patten Primary School</v>
      </c>
      <c r="C5" s="1"/>
      <c r="D5" s="1"/>
      <c r="E5" s="1"/>
      <c r="F5" s="1"/>
      <c r="G5" s="1"/>
      <c r="H5" s="1"/>
      <c r="I5" s="1"/>
      <c r="J5" s="1"/>
      <c r="K5" s="1"/>
      <c r="L5" s="1"/>
      <c r="M5" s="9"/>
      <c r="N5" s="10"/>
      <c r="O5" s="1"/>
      <c r="P5" s="1"/>
      <c r="Q5" s="1"/>
      <c r="R5" s="1"/>
      <c r="S5" s="1"/>
      <c r="T5" s="1"/>
      <c r="U5" s="1"/>
      <c r="V5" s="1"/>
      <c r="W5" s="1"/>
      <c r="X5" s="1"/>
      <c r="Y5" s="1"/>
      <c r="Z5" s="1"/>
    </row>
    <row r="6">
      <c r="A6" s="1"/>
      <c r="B6" s="1"/>
      <c r="C6" s="1"/>
      <c r="D6" s="1"/>
      <c r="E6" s="1"/>
      <c r="F6" s="1"/>
      <c r="G6" s="1"/>
      <c r="H6" s="1"/>
      <c r="I6" s="1"/>
      <c r="J6" s="1"/>
      <c r="K6" s="1"/>
      <c r="M6" s="12"/>
      <c r="N6" s="13"/>
      <c r="O6" s="1"/>
      <c r="P6" s="1"/>
      <c r="Q6" s="1"/>
      <c r="R6" s="1"/>
      <c r="S6" s="1"/>
      <c r="T6" s="1"/>
      <c r="U6" s="1"/>
      <c r="V6" s="1"/>
      <c r="W6" s="1"/>
      <c r="X6" s="1"/>
      <c r="Y6" s="1"/>
      <c r="Z6" s="1"/>
    </row>
    <row r="7">
      <c r="A7" s="1"/>
      <c r="B7" s="1"/>
      <c r="C7" s="1"/>
      <c r="D7" s="1"/>
      <c r="E7" s="1"/>
      <c r="F7" s="1"/>
      <c r="G7" s="1"/>
      <c r="H7" s="8"/>
      <c r="I7" s="1"/>
      <c r="J7" s="1"/>
      <c r="K7" s="1"/>
      <c r="L7" s="5" t="s">
        <v>3</v>
      </c>
      <c r="M7" s="1"/>
      <c r="N7" s="1"/>
      <c r="O7" s="1"/>
      <c r="P7" s="1"/>
      <c r="Q7" s="1"/>
      <c r="R7" s="1"/>
      <c r="S7" s="1"/>
      <c r="T7" s="1"/>
      <c r="U7" s="1"/>
      <c r="V7" s="1"/>
      <c r="W7" s="1"/>
      <c r="X7" s="1"/>
      <c r="Y7" s="1"/>
      <c r="Z7" s="1"/>
    </row>
    <row r="8">
      <c r="A8" s="1"/>
      <c r="B8" s="14" t="s">
        <v>4</v>
      </c>
      <c r="C8" s="15"/>
      <c r="D8" s="15"/>
      <c r="E8" s="15"/>
      <c r="F8" s="16"/>
      <c r="G8" s="1"/>
      <c r="H8" s="14" t="s">
        <v>5</v>
      </c>
      <c r="I8" s="16"/>
      <c r="J8" s="1"/>
      <c r="K8" s="17" t="s">
        <v>6</v>
      </c>
      <c r="L8" s="15"/>
      <c r="M8" s="15"/>
      <c r="N8" s="16"/>
      <c r="O8" s="1"/>
      <c r="P8" s="1"/>
      <c r="Q8" s="1"/>
      <c r="R8" s="1"/>
      <c r="S8" s="1"/>
      <c r="T8" s="1"/>
      <c r="U8" s="1"/>
      <c r="V8" s="1"/>
      <c r="W8" s="1"/>
      <c r="X8" s="1"/>
      <c r="Y8" s="1"/>
      <c r="Z8" s="1"/>
    </row>
    <row r="9">
      <c r="A9" s="1"/>
      <c r="B9" s="18"/>
      <c r="C9" s="1"/>
      <c r="D9" s="1"/>
      <c r="E9" s="1"/>
      <c r="F9" s="19"/>
      <c r="G9" s="1"/>
      <c r="H9" s="20" t="s">
        <v>7</v>
      </c>
      <c r="I9" s="19"/>
      <c r="J9" s="1"/>
      <c r="K9" s="18"/>
      <c r="L9" s="1"/>
      <c r="M9" s="1"/>
      <c r="N9" s="19"/>
      <c r="O9" s="1"/>
      <c r="P9" s="1"/>
      <c r="Q9" s="1"/>
      <c r="R9" s="1"/>
      <c r="S9" s="1"/>
      <c r="T9" s="1"/>
      <c r="U9" s="1"/>
      <c r="V9" s="1"/>
      <c r="W9" s="1"/>
      <c r="X9" s="1"/>
      <c r="Y9" s="1"/>
      <c r="Z9" s="1"/>
    </row>
    <row r="10">
      <c r="A10" s="1"/>
      <c r="B10" s="20" t="s">
        <v>8</v>
      </c>
      <c r="C10" s="1"/>
      <c r="D10" s="1"/>
      <c r="E10" s="1"/>
      <c r="F10" s="19"/>
      <c r="G10" s="1"/>
      <c r="H10" s="18"/>
      <c r="I10" s="19"/>
      <c r="J10" s="1"/>
      <c r="K10" s="21" t="s">
        <v>9</v>
      </c>
      <c r="L10" s="22" t="s">
        <v>10</v>
      </c>
      <c r="M10" s="1" t="s">
        <v>11</v>
      </c>
      <c r="N10" s="19" t="s">
        <v>12</v>
      </c>
      <c r="O10" s="1"/>
      <c r="P10" s="1"/>
      <c r="Q10" s="1"/>
      <c r="R10" s="1"/>
      <c r="S10" s="1"/>
      <c r="T10" s="1"/>
      <c r="U10" s="1"/>
      <c r="V10" s="1"/>
      <c r="W10" s="1"/>
      <c r="X10" s="1"/>
      <c r="Y10" s="1"/>
      <c r="Z10" s="1"/>
    </row>
    <row r="11">
      <c r="A11" s="1"/>
      <c r="B11" s="18"/>
      <c r="C11" s="1"/>
      <c r="D11" s="3" t="s">
        <v>13</v>
      </c>
      <c r="E11" s="3" t="s">
        <v>14</v>
      </c>
      <c r="F11" s="23" t="s">
        <v>15</v>
      </c>
      <c r="G11" s="1"/>
      <c r="H11" s="18"/>
      <c r="I11" s="19"/>
      <c r="J11" s="1"/>
      <c r="K11" s="18"/>
      <c r="L11" s="1"/>
      <c r="M11" s="24"/>
      <c r="N11" s="25"/>
      <c r="O11" s="1"/>
      <c r="P11" s="1"/>
      <c r="Q11" s="1"/>
      <c r="R11" s="1"/>
      <c r="S11" s="1"/>
      <c r="T11" s="1"/>
      <c r="U11" s="1"/>
      <c r="V11" s="1"/>
      <c r="W11" s="1"/>
      <c r="X11" s="1"/>
      <c r="Y11" s="1"/>
      <c r="Z11" s="1"/>
    </row>
    <row r="12">
      <c r="A12" s="1"/>
      <c r="B12" s="18" t="s">
        <v>16</v>
      </c>
      <c r="C12" s="1" t="s">
        <v>17</v>
      </c>
      <c r="D12" s="26">
        <f>IFERROR(VLOOKUP($C$2,Lookups!$A:$CR,5,0),0)</f>
        <v>417</v>
      </c>
      <c r="E12" s="27">
        <f>IF($D$12&gt;0,5113.16,IF($D$13&gt;0,0,0))</f>
        <v>5113.16</v>
      </c>
      <c r="F12" s="25">
        <f t="shared" ref="F12:F26" si="1">IFERROR(D12*E12,0)</f>
        <v>2132187.72</v>
      </c>
      <c r="G12" s="1"/>
      <c r="H12" s="28">
        <v>0.0</v>
      </c>
      <c r="I12" s="25">
        <v>0.0</v>
      </c>
      <c r="J12" s="1"/>
      <c r="K12" s="29">
        <f>IFERROR(VLOOKUP($C$2,Lookups!$A:$CR,61,0),0)</f>
        <v>2061369.3</v>
      </c>
      <c r="L12" s="24">
        <f>IFERROR(VLOOKUP($C$2,Lookups!$A:$CR,79,0),0)</f>
        <v>55842</v>
      </c>
      <c r="M12" s="24">
        <f t="shared" ref="M12:M27" si="2">K12+L12</f>
        <v>2117211.3</v>
      </c>
      <c r="N12" s="25">
        <f t="shared" ref="N12:N27" si="3">IFERROR(F12-M12,"")</f>
        <v>14976.42</v>
      </c>
      <c r="O12" s="1"/>
      <c r="P12" s="1"/>
      <c r="Q12" s="1"/>
      <c r="R12" s="1"/>
      <c r="S12" s="1"/>
      <c r="T12" s="1"/>
      <c r="U12" s="1"/>
      <c r="V12" s="1"/>
      <c r="W12" s="1"/>
      <c r="X12" s="1"/>
      <c r="Y12" s="1"/>
      <c r="Z12" s="1"/>
    </row>
    <row r="13">
      <c r="A13" s="1"/>
      <c r="B13" s="18"/>
      <c r="C13" s="1" t="s">
        <v>18</v>
      </c>
      <c r="D13" s="26">
        <f>IFERROR(VLOOKUP($C$2,Lookups!$A:$CR,6,0),0)</f>
        <v>0</v>
      </c>
      <c r="E13" s="27">
        <f>IF($D$12&gt;0,0,IF($D$13&gt;0,7153.89,0))</f>
        <v>0</v>
      </c>
      <c r="F13" s="25">
        <f t="shared" si="1"/>
        <v>0</v>
      </c>
      <c r="G13" s="1"/>
      <c r="H13" s="28">
        <v>0.0</v>
      </c>
      <c r="I13" s="25">
        <v>0.0</v>
      </c>
      <c r="J13" s="1"/>
      <c r="K13" s="29">
        <f>IFERROR(VLOOKUP($C$2,Lookups!$A:$CR,62,0),0)</f>
        <v>0</v>
      </c>
      <c r="L13" s="24">
        <f>IFERROR(VLOOKUP($C$2,Lookups!$A:$CR,80,0),0)</f>
        <v>0</v>
      </c>
      <c r="M13" s="24">
        <f t="shared" si="2"/>
        <v>0</v>
      </c>
      <c r="N13" s="25">
        <f t="shared" si="3"/>
        <v>0</v>
      </c>
      <c r="O13" s="1"/>
      <c r="P13" s="1"/>
      <c r="Q13" s="1"/>
      <c r="R13" s="1"/>
      <c r="S13" s="1"/>
      <c r="T13" s="1"/>
      <c r="U13" s="1"/>
      <c r="V13" s="1"/>
      <c r="W13" s="1"/>
      <c r="X13" s="1"/>
      <c r="Y13" s="1"/>
      <c r="Z13" s="1"/>
    </row>
    <row r="14">
      <c r="A14" s="1"/>
      <c r="B14" s="18"/>
      <c r="C14" s="1" t="s">
        <v>19</v>
      </c>
      <c r="D14" s="26">
        <f>IFERROR(VLOOKUP($C$2,Lookups!$A:$CR,7,0),0)</f>
        <v>0</v>
      </c>
      <c r="E14" s="27">
        <f>IF($D$12&gt;0,0,IF($D$13&gt;0,7980.03,0))</f>
        <v>0</v>
      </c>
      <c r="F14" s="25">
        <f t="shared" si="1"/>
        <v>0</v>
      </c>
      <c r="G14" s="24"/>
      <c r="H14" s="28">
        <v>0.0</v>
      </c>
      <c r="I14" s="25">
        <v>0.0</v>
      </c>
      <c r="J14" s="1"/>
      <c r="K14" s="29">
        <f>IFERROR(VLOOKUP($C$2,Lookups!$A:$CR,63,0),0)</f>
        <v>0</v>
      </c>
      <c r="L14" s="24">
        <f>IFERROR(VLOOKUP($C$2,Lookups!$A:$CR,81,0),0)</f>
        <v>0</v>
      </c>
      <c r="M14" s="24">
        <f t="shared" si="2"/>
        <v>0</v>
      </c>
      <c r="N14" s="25">
        <f t="shared" si="3"/>
        <v>0</v>
      </c>
      <c r="O14" s="1"/>
      <c r="P14" s="1"/>
      <c r="Q14" s="1"/>
      <c r="R14" s="1"/>
      <c r="S14" s="1"/>
      <c r="T14" s="1"/>
      <c r="U14" s="1"/>
      <c r="V14" s="1"/>
      <c r="W14" s="1"/>
      <c r="X14" s="1"/>
      <c r="Y14" s="1"/>
      <c r="Z14" s="1"/>
    </row>
    <row r="15">
      <c r="A15" s="1"/>
      <c r="B15" s="18" t="s">
        <v>20</v>
      </c>
      <c r="C15" s="1"/>
      <c r="D15" s="26">
        <f>IFERROR(VLOOKUP($C$2,Lookups!$A:$CR,9,0),0)+IFERROR(VLOOKUP($C$2,Lookups!$A:$CR,10,0),0)</f>
        <v>62</v>
      </c>
      <c r="E15" s="27">
        <f>IF($D$12&gt;0,597.15,IF($D$13&gt;0,597.15,0))</f>
        <v>597.15</v>
      </c>
      <c r="F15" s="25">
        <f t="shared" si="1"/>
        <v>37023.3</v>
      </c>
      <c r="G15" s="24"/>
      <c r="H15" s="28">
        <v>0.0</v>
      </c>
      <c r="I15" s="25">
        <v>0.0</v>
      </c>
      <c r="J15" s="1"/>
      <c r="K15" s="29">
        <f>IFERROR(VLOOKUP($C$2,Lookups!$A:$CR,64,0),0)</f>
        <v>29900.79</v>
      </c>
      <c r="L15" s="24"/>
      <c r="M15" s="24">
        <f t="shared" si="2"/>
        <v>29900.79</v>
      </c>
      <c r="N15" s="25">
        <f t="shared" si="3"/>
        <v>7122.51</v>
      </c>
      <c r="O15" s="1"/>
      <c r="P15" s="1"/>
      <c r="Q15" s="1"/>
      <c r="R15" s="1"/>
      <c r="S15" s="1"/>
      <c r="T15" s="1"/>
      <c r="U15" s="1"/>
      <c r="V15" s="1"/>
      <c r="W15" s="1"/>
      <c r="X15" s="1"/>
      <c r="Y15" s="1"/>
      <c r="Z15" s="1"/>
    </row>
    <row r="16">
      <c r="A16" s="1"/>
      <c r="B16" s="18" t="s">
        <v>21</v>
      </c>
      <c r="C16" s="1"/>
      <c r="D16" s="26">
        <f>IFERROR(VLOOKUP($C$2,Lookups!$A:$CR,12,0),0)+IFERROR(VLOOKUP($C$2,Lookups!$A:$CR,13,0),0)</f>
        <v>62</v>
      </c>
      <c r="E16" s="27">
        <f>IF($D$12&gt;0,1430.8,IF($D$13&gt;0,2039.78,0))</f>
        <v>1430.8</v>
      </c>
      <c r="F16" s="25">
        <f t="shared" si="1"/>
        <v>88709.6</v>
      </c>
      <c r="G16" s="24"/>
      <c r="H16" s="28">
        <v>1.0</v>
      </c>
      <c r="I16" s="25">
        <f t="shared" ref="I16:I25" si="4">F16*H16</f>
        <v>88709.6</v>
      </c>
      <c r="J16" s="1"/>
      <c r="K16" s="29">
        <f>IFERROR(VLOOKUP($C$2,Lookups!$A:$CR,65,0),0)</f>
        <v>65285.48</v>
      </c>
      <c r="L16" s="24">
        <f>IFERROR(VLOOKUP($C$2,Lookups!$A:$CR,82,0),0)</f>
        <v>6774.56</v>
      </c>
      <c r="M16" s="24">
        <f t="shared" si="2"/>
        <v>72060.04</v>
      </c>
      <c r="N16" s="25">
        <f t="shared" si="3"/>
        <v>16649.56</v>
      </c>
      <c r="O16" s="1"/>
      <c r="P16" s="1"/>
      <c r="Q16" s="1"/>
      <c r="R16" s="1"/>
      <c r="S16" s="1"/>
      <c r="T16" s="1"/>
      <c r="U16" s="1"/>
      <c r="V16" s="1"/>
      <c r="W16" s="1"/>
      <c r="X16" s="1"/>
      <c r="Y16" s="1"/>
      <c r="Z16" s="1"/>
    </row>
    <row r="17">
      <c r="A17" s="1"/>
      <c r="B17" s="18" t="s">
        <v>22</v>
      </c>
      <c r="C17" s="1" t="s">
        <v>23</v>
      </c>
      <c r="D17" s="26">
        <f>IFERROR(VLOOKUP($C$2,Lookups!$A:$CR,15,0),0)+IFERROR(VLOOKUP($C$2,Lookups!$A:$CR,21,0),0)</f>
        <v>109.2620192</v>
      </c>
      <c r="E17" s="27">
        <f>IF($D$12&gt;0,283.8,IF($D$13&gt;0,407.96,0))</f>
        <v>283.8</v>
      </c>
      <c r="F17" s="25">
        <f t="shared" si="1"/>
        <v>31008.56105</v>
      </c>
      <c r="G17" s="24"/>
      <c r="H17" s="28">
        <v>1.0</v>
      </c>
      <c r="I17" s="25">
        <f t="shared" si="4"/>
        <v>31008.56105</v>
      </c>
      <c r="J17" s="1"/>
      <c r="K17" s="29">
        <f>IFERROR(VLOOKUP($C$2,Lookups!$A:$CR,66,0),0)</f>
        <v>28112.34</v>
      </c>
      <c r="L17" s="24"/>
      <c r="M17" s="24">
        <f t="shared" si="2"/>
        <v>28112.34</v>
      </c>
      <c r="N17" s="25">
        <f t="shared" si="3"/>
        <v>2896.221049</v>
      </c>
      <c r="O17" s="1"/>
      <c r="P17" s="1"/>
      <c r="Q17" s="1"/>
      <c r="R17" s="1"/>
      <c r="S17" s="1"/>
      <c r="T17" s="1"/>
      <c r="U17" s="1"/>
      <c r="V17" s="1"/>
      <c r="W17" s="1"/>
      <c r="X17" s="1"/>
      <c r="Y17" s="1"/>
      <c r="Z17" s="1"/>
    </row>
    <row r="18">
      <c r="A18" s="1"/>
      <c r="B18" s="18"/>
      <c r="C18" s="1" t="s">
        <v>24</v>
      </c>
      <c r="D18" s="26">
        <f>IFERROR(VLOOKUP($C$2,Lookups!$A:$CR,16,0),0)+IFERROR(VLOOKUP($C$2,Lookups!$A:$CR,22,0),0)</f>
        <v>72.17307692</v>
      </c>
      <c r="E18" s="27">
        <f>IF($D$12&gt;0,342.92,IF($D$13&gt;0,543.94,0))</f>
        <v>342.92</v>
      </c>
      <c r="F18" s="25">
        <f t="shared" si="1"/>
        <v>24749.59154</v>
      </c>
      <c r="G18" s="24"/>
      <c r="H18" s="28">
        <v>1.0</v>
      </c>
      <c r="I18" s="25">
        <f t="shared" si="4"/>
        <v>24749.59154</v>
      </c>
      <c r="J18" s="1"/>
      <c r="K18" s="29">
        <f>IFERROR(VLOOKUP($C$2,Lookups!$A:$CR,67,0),0)</f>
        <v>26667.24</v>
      </c>
      <c r="L18" s="24"/>
      <c r="M18" s="24">
        <f t="shared" si="2"/>
        <v>26667.24</v>
      </c>
      <c r="N18" s="25">
        <f t="shared" si="3"/>
        <v>-1917.648463</v>
      </c>
      <c r="O18" s="1"/>
      <c r="P18" s="1"/>
      <c r="Q18" s="1"/>
      <c r="R18" s="1"/>
      <c r="S18" s="1"/>
      <c r="T18" s="1"/>
      <c r="U18" s="1"/>
      <c r="V18" s="1"/>
      <c r="W18" s="1"/>
      <c r="X18" s="1"/>
      <c r="Y18" s="1"/>
      <c r="Z18" s="1"/>
    </row>
    <row r="19">
      <c r="A19" s="1"/>
      <c r="B19" s="18"/>
      <c r="C19" s="1" t="s">
        <v>25</v>
      </c>
      <c r="D19" s="26">
        <f>IFERROR(VLOOKUP($C$2,Lookups!$A:$CR,17,0),0)+IFERROR(VLOOKUP($C$2,Lookups!$A:$CR,23,0),0)</f>
        <v>10.02403846</v>
      </c>
      <c r="E19" s="27">
        <f>IF($D$12&gt;0,538.03,IF($D$13&gt;0,768.61,0))</f>
        <v>538.03</v>
      </c>
      <c r="F19" s="25">
        <f t="shared" si="1"/>
        <v>5393.233413</v>
      </c>
      <c r="G19" s="24"/>
      <c r="H19" s="28">
        <v>1.0</v>
      </c>
      <c r="I19" s="25">
        <f t="shared" si="4"/>
        <v>5393.233413</v>
      </c>
      <c r="J19" s="1"/>
      <c r="K19" s="29">
        <f>IFERROR(VLOOKUP($C$2,Lookups!$A:$CR,68,0),0)</f>
        <v>4743.63</v>
      </c>
      <c r="L19" s="24"/>
      <c r="M19" s="24">
        <f t="shared" si="2"/>
        <v>4743.63</v>
      </c>
      <c r="N19" s="25">
        <f t="shared" si="3"/>
        <v>649.6034126</v>
      </c>
      <c r="O19" s="1"/>
      <c r="P19" s="1"/>
      <c r="Q19" s="1"/>
      <c r="R19" s="1"/>
      <c r="S19" s="1"/>
      <c r="T19" s="1"/>
      <c r="U19" s="1"/>
      <c r="V19" s="1"/>
      <c r="W19" s="1"/>
      <c r="X19" s="1"/>
      <c r="Y19" s="1"/>
      <c r="Z19" s="1"/>
    </row>
    <row r="20">
      <c r="A20" s="1"/>
      <c r="B20" s="18"/>
      <c r="C20" s="1" t="s">
        <v>26</v>
      </c>
      <c r="D20" s="26">
        <f>IFERROR(VLOOKUP($C$2,Lookups!$A:$CR,18,0),0)+IFERROR(VLOOKUP($C$2,Lookups!$A:$CR,24,0),0)</f>
        <v>16.03846154</v>
      </c>
      <c r="E20" s="27">
        <f>IF($D$12&gt;0,591.24,IF($D$13&gt;0,839.56,0))</f>
        <v>591.24</v>
      </c>
      <c r="F20" s="25">
        <f t="shared" si="1"/>
        <v>9482.580001</v>
      </c>
      <c r="G20" s="24"/>
      <c r="H20" s="28">
        <v>1.0</v>
      </c>
      <c r="I20" s="25">
        <f t="shared" si="4"/>
        <v>9482.580001</v>
      </c>
      <c r="J20" s="1"/>
      <c r="K20" s="29">
        <f>IFERROR(VLOOKUP($C$2,Lookups!$A:$CR,69,0),0)</f>
        <v>11027.03</v>
      </c>
      <c r="L20" s="24"/>
      <c r="M20" s="24">
        <f t="shared" si="2"/>
        <v>11027.03</v>
      </c>
      <c r="N20" s="25">
        <f t="shared" si="3"/>
        <v>-1544.449999</v>
      </c>
      <c r="O20" s="1"/>
      <c r="P20" s="1"/>
      <c r="Q20" s="1"/>
      <c r="R20" s="1"/>
      <c r="S20" s="1"/>
      <c r="T20" s="1"/>
      <c r="U20" s="1"/>
      <c r="V20" s="1"/>
      <c r="W20" s="1"/>
      <c r="X20" s="1"/>
      <c r="Y20" s="1"/>
      <c r="Z20" s="1"/>
    </row>
    <row r="21">
      <c r="A21" s="1"/>
      <c r="B21" s="18"/>
      <c r="C21" s="1" t="s">
        <v>27</v>
      </c>
      <c r="D21" s="26">
        <f>IFERROR(VLOOKUP($C$2,Lookups!$A:$CR,19,0),0)+IFERROR(VLOOKUP($C$2,Lookups!$A:$CR,25,0),0)</f>
        <v>12.02884615</v>
      </c>
      <c r="E21" s="27">
        <f>IF($D$12&gt;0,626.71,IF($D$13&gt;0,898.68,0))</f>
        <v>626.71</v>
      </c>
      <c r="F21" s="25">
        <f t="shared" si="1"/>
        <v>7538.598171</v>
      </c>
      <c r="G21" s="24"/>
      <c r="H21" s="28">
        <v>1.0</v>
      </c>
      <c r="I21" s="25">
        <f t="shared" si="4"/>
        <v>7538.598171</v>
      </c>
      <c r="J21" s="1"/>
      <c r="K21" s="29">
        <f>IFERROR(VLOOKUP($C$2,Lookups!$A:$CR,70,0),0)</f>
        <v>8006.7</v>
      </c>
      <c r="L21" s="24"/>
      <c r="M21" s="24">
        <f t="shared" si="2"/>
        <v>8006.7</v>
      </c>
      <c r="N21" s="25">
        <f t="shared" si="3"/>
        <v>-468.1018293</v>
      </c>
      <c r="O21" s="1"/>
      <c r="P21" s="1"/>
      <c r="Q21" s="1"/>
      <c r="R21" s="1"/>
      <c r="S21" s="1"/>
      <c r="T21" s="1"/>
      <c r="U21" s="1"/>
      <c r="V21" s="1"/>
      <c r="W21" s="1"/>
      <c r="X21" s="1"/>
      <c r="Y21" s="1"/>
      <c r="Z21" s="1"/>
    </row>
    <row r="22">
      <c r="A22" s="1"/>
      <c r="B22" s="18"/>
      <c r="C22" s="1" t="s">
        <v>28</v>
      </c>
      <c r="D22" s="26">
        <f>IFERROR(VLOOKUP($C$2,Lookups!$A:$CR,20,0),0)+IFERROR(VLOOKUP($C$2,Lookups!$A:$CR,26,0),0)</f>
        <v>0</v>
      </c>
      <c r="E22" s="27">
        <f>IF($D$12&gt;0,827.74,IF($D$13&gt;0,1147.01,0))</f>
        <v>827.74</v>
      </c>
      <c r="F22" s="25">
        <f t="shared" si="1"/>
        <v>0</v>
      </c>
      <c r="G22" s="24"/>
      <c r="H22" s="28">
        <v>1.0</v>
      </c>
      <c r="I22" s="25">
        <f t="shared" si="4"/>
        <v>0</v>
      </c>
      <c r="J22" s="1"/>
      <c r="K22" s="29">
        <f>IFERROR(VLOOKUP($C$2,Lookups!$A:$CR,71,0),0)</f>
        <v>0</v>
      </c>
      <c r="L22" s="24"/>
      <c r="M22" s="24">
        <f t="shared" si="2"/>
        <v>0</v>
      </c>
      <c r="N22" s="25">
        <f t="shared" si="3"/>
        <v>0</v>
      </c>
      <c r="O22" s="1"/>
      <c r="P22" s="1"/>
      <c r="Q22" s="1"/>
      <c r="R22" s="1"/>
      <c r="S22" s="1"/>
      <c r="T22" s="1"/>
      <c r="U22" s="1"/>
      <c r="V22" s="1"/>
      <c r="W22" s="1"/>
      <c r="X22" s="1"/>
      <c r="Y22" s="1"/>
      <c r="Z22" s="1"/>
    </row>
    <row r="23">
      <c r="A23" s="1"/>
      <c r="B23" s="18" t="s">
        <v>29</v>
      </c>
      <c r="C23" s="1"/>
      <c r="D23" s="26">
        <f>IFERROR(VLOOKUP($C$2,Lookups!$A:$CR,28,0),0)+IFERROR(VLOOKUP($C$2,Lookups!$A:$CR,29,0),0)</f>
        <v>99.00837989</v>
      </c>
      <c r="E23" s="27">
        <f>IF($D$12&gt;0,721.31,IF($D$13&gt;0,1927.44,0))</f>
        <v>721.31</v>
      </c>
      <c r="F23" s="25">
        <f t="shared" si="1"/>
        <v>71415.7345</v>
      </c>
      <c r="G23" s="24"/>
      <c r="H23" s="28">
        <v>1.0</v>
      </c>
      <c r="I23" s="25">
        <f t="shared" si="4"/>
        <v>71415.7345</v>
      </c>
      <c r="J23" s="1"/>
      <c r="K23" s="29">
        <f>IFERROR(VLOOKUP($C$2,Lookups!$A:$CR,72,0),0)</f>
        <v>64392.19</v>
      </c>
      <c r="L23" s="24"/>
      <c r="M23" s="24">
        <f t="shared" si="2"/>
        <v>64392.19</v>
      </c>
      <c r="N23" s="25">
        <f t="shared" si="3"/>
        <v>7023.544498</v>
      </c>
      <c r="O23" s="1"/>
      <c r="P23" s="1"/>
      <c r="Q23" s="1"/>
      <c r="R23" s="1"/>
      <c r="S23" s="1"/>
      <c r="T23" s="1"/>
      <c r="U23" s="1"/>
      <c r="V23" s="1"/>
      <c r="W23" s="1"/>
      <c r="X23" s="1"/>
      <c r="Y23" s="1"/>
      <c r="Z23" s="1"/>
    </row>
    <row r="24">
      <c r="A24" s="1"/>
      <c r="B24" s="18" t="s">
        <v>30</v>
      </c>
      <c r="C24" s="1"/>
      <c r="D24" s="26">
        <f>IFERROR(VLOOKUP($C$2,Lookups!$A:$CR,31,0),0)+IFERROR(VLOOKUP($C$2,Lookups!$A:$CR,32,0),0)</f>
        <v>93.97303825</v>
      </c>
      <c r="E24" s="27">
        <f>IF($D$12&gt;0,1418.98,IF($D$13&gt;0,2158.03,0))</f>
        <v>1418.98</v>
      </c>
      <c r="F24" s="25">
        <f t="shared" si="1"/>
        <v>133345.8618</v>
      </c>
      <c r="G24" s="24"/>
      <c r="H24" s="28">
        <v>1.0</v>
      </c>
      <c r="I24" s="25">
        <f t="shared" si="4"/>
        <v>133345.8618</v>
      </c>
      <c r="J24" s="1"/>
      <c r="K24" s="29">
        <f>IFERROR(VLOOKUP($C$2,Lookups!$A:$CR,73,0),0)</f>
        <v>128484.36</v>
      </c>
      <c r="L24" s="24"/>
      <c r="M24" s="24">
        <f t="shared" si="2"/>
        <v>128484.36</v>
      </c>
      <c r="N24" s="25">
        <f t="shared" si="3"/>
        <v>4861.501816</v>
      </c>
      <c r="O24" s="1"/>
      <c r="P24" s="1"/>
      <c r="Q24" s="1"/>
      <c r="R24" s="1"/>
      <c r="S24" s="1"/>
      <c r="T24" s="1"/>
      <c r="U24" s="1"/>
      <c r="V24" s="1"/>
      <c r="W24" s="1"/>
      <c r="X24" s="1"/>
      <c r="Y24" s="1"/>
      <c r="Z24" s="1"/>
    </row>
    <row r="25">
      <c r="A25" s="1"/>
      <c r="B25" s="18" t="s">
        <v>31</v>
      </c>
      <c r="C25" s="1"/>
      <c r="D25" s="26">
        <f>IFERROR(VLOOKUP($C$2,Lookups!$A:$CR,34,0),0)+IFERROR(VLOOKUP($C$2,Lookups!$A:$CR,35,0),0)</f>
        <v>0</v>
      </c>
      <c r="E25" s="27">
        <f>IF($D$12&gt;0,1164.74,IF($D$13&gt;0,1673.21,0))</f>
        <v>1164.74</v>
      </c>
      <c r="F25" s="25">
        <f t="shared" si="1"/>
        <v>0</v>
      </c>
      <c r="G25" s="24"/>
      <c r="H25" s="28">
        <v>1.0</v>
      </c>
      <c r="I25" s="25">
        <f t="shared" si="4"/>
        <v>0</v>
      </c>
      <c r="J25" s="1"/>
      <c r="K25" s="29">
        <f>IFERROR(VLOOKUP($C$2,Lookups!$A:$CR,74,0),0)</f>
        <v>0</v>
      </c>
      <c r="L25" s="24"/>
      <c r="M25" s="24">
        <f t="shared" si="2"/>
        <v>0</v>
      </c>
      <c r="N25" s="25">
        <f t="shared" si="3"/>
        <v>0</v>
      </c>
      <c r="O25" s="1"/>
      <c r="P25" s="1"/>
      <c r="Q25" s="1"/>
      <c r="R25" s="1"/>
      <c r="S25" s="1"/>
      <c r="T25" s="1"/>
      <c r="U25" s="1"/>
      <c r="V25" s="1"/>
      <c r="W25" s="1"/>
      <c r="X25" s="1"/>
      <c r="Y25" s="1"/>
      <c r="Z25" s="1"/>
    </row>
    <row r="26">
      <c r="A26" s="1"/>
      <c r="B26" s="18" t="s">
        <v>32</v>
      </c>
      <c r="C26" s="1"/>
      <c r="D26" s="26">
        <f>IF(SUM(D12:D14)&gt;0,1,0)</f>
        <v>1</v>
      </c>
      <c r="E26" s="27">
        <f>IFERROR(VLOOKUP($C$2,Lookups!$A:$CR,37,0),0)</f>
        <v>180564.7</v>
      </c>
      <c r="F26" s="25">
        <f t="shared" si="1"/>
        <v>180564.7</v>
      </c>
      <c r="G26" s="24"/>
      <c r="H26" s="28">
        <v>0.0</v>
      </c>
      <c r="I26" s="25">
        <v>0.0</v>
      </c>
      <c r="J26" s="1"/>
      <c r="K26" s="29">
        <f>IFERROR(VLOOKUP($C$2,Lookups!$A:$CR,75,0),0)</f>
        <v>171859.34</v>
      </c>
      <c r="L26" s="24">
        <f>IFERROR(VLOOKUP($C$2,Lookups!$A:$CR,83,0),0)</f>
        <v>4500.78</v>
      </c>
      <c r="M26" s="24">
        <f t="shared" si="2"/>
        <v>176360.12</v>
      </c>
      <c r="N26" s="25">
        <f t="shared" si="3"/>
        <v>4204.58</v>
      </c>
      <c r="O26" s="1"/>
      <c r="P26" s="1"/>
      <c r="Q26" s="1"/>
      <c r="R26" s="1"/>
      <c r="S26" s="1"/>
      <c r="T26" s="1"/>
      <c r="U26" s="1"/>
      <c r="V26" s="1"/>
      <c r="W26" s="1"/>
      <c r="X26" s="1"/>
      <c r="Y26" s="1"/>
      <c r="Z26" s="1"/>
    </row>
    <row r="27">
      <c r="A27" s="1"/>
      <c r="B27" s="18" t="s">
        <v>33</v>
      </c>
      <c r="C27" s="1"/>
      <c r="D27" s="1"/>
      <c r="E27" s="1"/>
      <c r="F27" s="25">
        <f>IFERROR(VLOOKUP($C$2,Lookups!$A:$CR,38,0),0)</f>
        <v>50091</v>
      </c>
      <c r="G27" s="24"/>
      <c r="H27" s="28">
        <v>0.0</v>
      </c>
      <c r="I27" s="25">
        <v>0.0</v>
      </c>
      <c r="J27" s="1"/>
      <c r="K27" s="29">
        <f>IFERROR(VLOOKUP($C$2,Lookups!$A:$CR,76,0),0)</f>
        <v>50091</v>
      </c>
      <c r="L27" s="1"/>
      <c r="M27" s="24">
        <f t="shared" si="2"/>
        <v>50091</v>
      </c>
      <c r="N27" s="25">
        <f t="shared" si="3"/>
        <v>0</v>
      </c>
      <c r="O27" s="1"/>
      <c r="P27" s="1"/>
      <c r="Q27" s="1"/>
      <c r="R27" s="1"/>
      <c r="S27" s="1"/>
      <c r="T27" s="1"/>
      <c r="U27" s="1"/>
      <c r="V27" s="1"/>
      <c r="W27" s="1"/>
      <c r="X27" s="1"/>
      <c r="Y27" s="1"/>
      <c r="Z27" s="1"/>
    </row>
    <row r="28">
      <c r="A28" s="1"/>
      <c r="B28" s="18"/>
      <c r="C28" s="1"/>
      <c r="D28" s="1"/>
      <c r="E28" s="1"/>
      <c r="F28" s="19"/>
      <c r="G28" s="24"/>
      <c r="H28" s="18"/>
      <c r="I28" s="19"/>
      <c r="J28" s="1"/>
      <c r="K28" s="18"/>
      <c r="L28" s="1"/>
      <c r="M28" s="24"/>
      <c r="N28" s="25"/>
      <c r="O28" s="1"/>
      <c r="P28" s="1"/>
      <c r="Q28" s="1"/>
      <c r="R28" s="1"/>
      <c r="S28" s="1"/>
      <c r="T28" s="1"/>
      <c r="U28" s="1"/>
      <c r="V28" s="1"/>
      <c r="W28" s="1"/>
      <c r="X28" s="1"/>
      <c r="Y28" s="1"/>
      <c r="Z28" s="1"/>
    </row>
    <row r="29">
      <c r="A29" s="1"/>
      <c r="B29" s="20" t="s">
        <v>34</v>
      </c>
      <c r="C29" s="1"/>
      <c r="D29" s="1"/>
      <c r="E29" s="1"/>
      <c r="F29" s="30">
        <f>IFERROR(VLOOKUP($C$2,Lookups!$A:$CR,52,0),0)-IFERROR(VLOOKUP($C$2,Lookups!$A:$CR,51,0),0)</f>
        <v>2771510.48</v>
      </c>
      <c r="G29" s="31"/>
      <c r="H29" s="32"/>
      <c r="I29" s="33">
        <f>SUM(I12:I27)</f>
        <v>371643.7605</v>
      </c>
      <c r="J29" s="31"/>
      <c r="K29" s="29">
        <f t="shared" ref="K29:M29" si="5">SUM(K11:K27)</f>
        <v>2649939.4</v>
      </c>
      <c r="L29" s="27">
        <f t="shared" si="5"/>
        <v>67117.34</v>
      </c>
      <c r="M29" s="27">
        <f t="shared" si="5"/>
        <v>2717056.74</v>
      </c>
      <c r="N29" s="25">
        <f>IFERROR(F29-M29,"")</f>
        <v>54453.74</v>
      </c>
      <c r="O29" s="1"/>
      <c r="P29" s="1"/>
      <c r="Q29" s="1"/>
      <c r="R29" s="1"/>
      <c r="S29" s="1"/>
      <c r="T29" s="1"/>
      <c r="U29" s="1"/>
      <c r="V29" s="1"/>
      <c r="W29" s="1"/>
      <c r="X29" s="1"/>
      <c r="Y29" s="1"/>
      <c r="Z29" s="1"/>
    </row>
    <row r="30">
      <c r="A30" s="1"/>
      <c r="B30" s="34"/>
      <c r="C30" s="1"/>
      <c r="D30" s="1"/>
      <c r="E30" s="1"/>
      <c r="F30" s="19"/>
      <c r="G30" s="24"/>
      <c r="H30" s="1"/>
      <c r="I30" s="1"/>
      <c r="J30" s="31"/>
      <c r="K30" s="18"/>
      <c r="L30" s="1"/>
      <c r="M30" s="24"/>
      <c r="N30" s="25"/>
      <c r="O30" s="1"/>
      <c r="P30" s="1"/>
      <c r="Q30" s="1"/>
      <c r="R30" s="1"/>
      <c r="S30" s="1"/>
      <c r="T30" s="1"/>
      <c r="U30" s="1"/>
      <c r="V30" s="1"/>
      <c r="W30" s="1"/>
      <c r="X30" s="1"/>
      <c r="Y30" s="1"/>
      <c r="Z30" s="1"/>
    </row>
    <row r="31">
      <c r="A31" s="1"/>
      <c r="B31" s="18" t="s">
        <v>35</v>
      </c>
      <c r="C31" s="1"/>
      <c r="D31" s="1"/>
      <c r="E31" s="1"/>
      <c r="F31" s="25">
        <f>IFERROR(VLOOKUP($C$2,Lookups!$A:$CR,51,0),0)</f>
        <v>148830.43</v>
      </c>
      <c r="G31" s="31"/>
      <c r="H31" s="1"/>
      <c r="I31" s="1"/>
      <c r="J31" s="31"/>
      <c r="K31" s="29">
        <f>IFERROR(VLOOKUP($C$2,Lookups!$A:$CR,77,0),0)</f>
        <v>147714.33</v>
      </c>
      <c r="L31" s="1"/>
      <c r="M31" s="24">
        <f>K31</f>
        <v>147714.33</v>
      </c>
      <c r="N31" s="25">
        <f>IFERROR(F31-M31,"")</f>
        <v>1116.1</v>
      </c>
      <c r="O31" s="1"/>
      <c r="P31" s="1"/>
      <c r="Q31" s="1"/>
      <c r="R31" s="1"/>
      <c r="S31" s="1"/>
      <c r="T31" s="1"/>
      <c r="U31" s="1"/>
      <c r="V31" s="1"/>
      <c r="W31" s="1"/>
      <c r="X31" s="1"/>
      <c r="Y31" s="1"/>
      <c r="Z31" s="1"/>
    </row>
    <row r="32">
      <c r="A32" s="1"/>
      <c r="B32" s="20"/>
      <c r="C32" s="1"/>
      <c r="D32" s="1"/>
      <c r="E32" s="1"/>
      <c r="F32" s="19"/>
      <c r="G32" s="24"/>
      <c r="H32" s="1"/>
      <c r="I32" s="1"/>
      <c r="J32" s="1"/>
      <c r="K32" s="18"/>
      <c r="L32" s="1"/>
      <c r="M32" s="24"/>
      <c r="N32" s="25"/>
      <c r="O32" s="1"/>
      <c r="P32" s="1"/>
      <c r="Q32" s="1"/>
      <c r="R32" s="1"/>
      <c r="S32" s="1"/>
      <c r="T32" s="1"/>
      <c r="U32" s="1"/>
      <c r="V32" s="1"/>
      <c r="W32" s="1"/>
      <c r="X32" s="1"/>
      <c r="Y32" s="1"/>
      <c r="Z32" s="1"/>
    </row>
    <row r="33">
      <c r="A33" s="1"/>
      <c r="B33" s="20" t="s">
        <v>36</v>
      </c>
      <c r="C33" s="1"/>
      <c r="D33" s="1"/>
      <c r="E33" s="1"/>
      <c r="F33" s="30">
        <f>F29+F31</f>
        <v>2920340.91</v>
      </c>
      <c r="G33" s="31"/>
      <c r="H33" s="1"/>
      <c r="I33" s="1"/>
      <c r="J33" s="31"/>
      <c r="K33" s="29">
        <f>K29+K31</f>
        <v>2797653.73</v>
      </c>
      <c r="L33" s="27">
        <f>L29</f>
        <v>67117.34</v>
      </c>
      <c r="M33" s="24">
        <f>K33+L33</f>
        <v>2864771.07</v>
      </c>
      <c r="N33" s="25">
        <f>IFERROR(F33-M33,"")</f>
        <v>55569.84</v>
      </c>
      <c r="O33" s="1"/>
      <c r="P33" s="1"/>
      <c r="Q33" s="1"/>
      <c r="R33" s="1"/>
      <c r="S33" s="1"/>
      <c r="T33" s="1"/>
      <c r="U33" s="1"/>
      <c r="V33" s="1"/>
      <c r="W33" s="1"/>
      <c r="X33" s="1"/>
      <c r="Y33" s="1"/>
      <c r="Z33" s="1"/>
    </row>
    <row r="34">
      <c r="A34" s="1"/>
      <c r="B34" s="20"/>
      <c r="C34" s="1"/>
      <c r="D34" s="1"/>
      <c r="E34" s="1"/>
      <c r="F34" s="19"/>
      <c r="G34" s="24"/>
      <c r="H34" s="1"/>
      <c r="I34" s="1"/>
      <c r="J34" s="1"/>
      <c r="K34" s="18"/>
      <c r="L34" s="1"/>
      <c r="M34" s="1"/>
      <c r="N34" s="19"/>
      <c r="O34" s="1"/>
      <c r="P34" s="1"/>
      <c r="Q34" s="1"/>
      <c r="R34" s="1"/>
      <c r="S34" s="1"/>
      <c r="T34" s="1"/>
      <c r="U34" s="1"/>
      <c r="V34" s="1"/>
      <c r="W34" s="1"/>
      <c r="X34" s="1"/>
      <c r="Y34" s="1"/>
      <c r="Z34" s="1"/>
    </row>
    <row r="35">
      <c r="A35" s="1"/>
      <c r="B35" s="18" t="s">
        <v>37</v>
      </c>
      <c r="C35" s="1"/>
      <c r="D35" s="1"/>
      <c r="E35" s="1"/>
      <c r="F35" s="25">
        <f>IFERROR(VLOOKUP($C$2,Lookups!$A:$CR,59,0),0)</f>
        <v>30749.16</v>
      </c>
      <c r="G35" s="31"/>
      <c r="H35" s="1"/>
      <c r="I35" s="1"/>
      <c r="J35" s="1"/>
      <c r="K35" s="21" t="s">
        <v>38</v>
      </c>
      <c r="L35" s="1"/>
      <c r="M35" s="27">
        <f>IFERROR(M33/ VLOOKUP($C$2,Lookups!$A:$CR,60,0),0)</f>
        <v>6987.246512</v>
      </c>
      <c r="N35" s="19"/>
      <c r="O35" s="1"/>
      <c r="P35" s="1"/>
      <c r="Q35" s="1"/>
      <c r="R35" s="1"/>
      <c r="S35" s="1"/>
      <c r="T35" s="1"/>
      <c r="U35" s="1"/>
      <c r="V35" s="1"/>
      <c r="W35" s="1"/>
      <c r="X35" s="1"/>
      <c r="Y35" s="1"/>
      <c r="Z35" s="1"/>
    </row>
    <row r="36">
      <c r="A36" s="1"/>
      <c r="B36" s="20"/>
      <c r="C36" s="1"/>
      <c r="D36" s="1"/>
      <c r="E36" s="1"/>
      <c r="F36" s="19"/>
      <c r="G36" s="1"/>
      <c r="H36" s="1"/>
      <c r="I36" s="1"/>
      <c r="J36" s="1"/>
      <c r="K36" s="21" t="s">
        <v>39</v>
      </c>
      <c r="L36" s="1"/>
      <c r="M36" s="27">
        <f>IFERROR(F33/SUM(D12:D14),0)</f>
        <v>7003.215612</v>
      </c>
      <c r="N36" s="19"/>
      <c r="O36" s="1"/>
      <c r="P36" s="1"/>
      <c r="Q36" s="1"/>
      <c r="R36" s="1"/>
      <c r="S36" s="1"/>
      <c r="T36" s="1"/>
      <c r="U36" s="1"/>
      <c r="V36" s="1"/>
      <c r="W36" s="1"/>
      <c r="X36" s="1"/>
      <c r="Y36" s="1"/>
      <c r="Z36" s="1"/>
    </row>
    <row r="37">
      <c r="A37" s="1"/>
      <c r="B37" s="20" t="s">
        <v>40</v>
      </c>
      <c r="C37" s="1"/>
      <c r="D37" s="1"/>
      <c r="E37" s="1"/>
      <c r="F37" s="30">
        <f>F33-F35</f>
        <v>2889591.75</v>
      </c>
      <c r="G37" s="31"/>
      <c r="H37" s="1"/>
      <c r="I37" s="1"/>
      <c r="J37" s="1"/>
      <c r="K37" s="18" t="s">
        <v>41</v>
      </c>
      <c r="L37" s="1"/>
      <c r="M37" s="27">
        <f>M36-M35</f>
        <v>15.96909932</v>
      </c>
      <c r="N37" s="19"/>
      <c r="O37" s="1"/>
      <c r="P37" s="1"/>
      <c r="Q37" s="1"/>
      <c r="R37" s="1"/>
      <c r="S37" s="1"/>
      <c r="T37" s="1"/>
      <c r="U37" s="1"/>
      <c r="V37" s="1"/>
      <c r="W37" s="1"/>
      <c r="X37" s="1"/>
      <c r="Y37" s="1"/>
      <c r="Z37" s="1"/>
    </row>
    <row r="38">
      <c r="A38" s="1"/>
      <c r="B38" s="20"/>
      <c r="C38" s="1"/>
      <c r="D38" s="1"/>
      <c r="E38" s="1"/>
      <c r="F38" s="19"/>
      <c r="G38" s="1"/>
      <c r="H38" s="1"/>
      <c r="I38" s="1"/>
      <c r="J38" s="1"/>
      <c r="K38" s="32" t="s">
        <v>42</v>
      </c>
      <c r="L38" s="35"/>
      <c r="M38" s="36">
        <f>IFERROR(M37/M35,"")</f>
        <v>0.00228546385</v>
      </c>
      <c r="N38" s="37"/>
      <c r="O38" s="1"/>
      <c r="P38" s="1"/>
      <c r="Q38" s="1"/>
      <c r="R38" s="1"/>
      <c r="S38" s="1"/>
      <c r="T38" s="1"/>
      <c r="U38" s="1"/>
      <c r="V38" s="1"/>
      <c r="W38" s="1"/>
      <c r="X38" s="1"/>
      <c r="Y38" s="1"/>
      <c r="Z38" s="1"/>
    </row>
    <row r="39">
      <c r="A39" s="1"/>
      <c r="B39" s="20"/>
      <c r="C39" s="1"/>
      <c r="D39" s="1"/>
      <c r="E39" s="1"/>
      <c r="F39" s="19"/>
      <c r="G39" s="1"/>
      <c r="H39" s="1"/>
      <c r="I39" s="1"/>
      <c r="J39" s="1"/>
      <c r="K39" s="1"/>
      <c r="L39" s="1"/>
      <c r="M39" s="1"/>
      <c r="N39" s="1"/>
      <c r="O39" s="1"/>
      <c r="P39" s="1"/>
      <c r="Q39" s="1"/>
      <c r="R39" s="1"/>
      <c r="S39" s="1"/>
      <c r="T39" s="1"/>
      <c r="U39" s="1"/>
      <c r="V39" s="1"/>
      <c r="W39" s="1"/>
      <c r="X39" s="1"/>
      <c r="Y39" s="1"/>
      <c r="Z39" s="1"/>
    </row>
    <row r="40">
      <c r="A40" s="1"/>
      <c r="B40" s="20" t="s">
        <v>43</v>
      </c>
      <c r="C40" s="1"/>
      <c r="D40" s="1"/>
      <c r="E40" s="1"/>
      <c r="F40" s="19"/>
      <c r="G40" s="1"/>
      <c r="H40" s="1"/>
      <c r="I40" s="1"/>
      <c r="J40" s="1"/>
      <c r="K40" s="1"/>
      <c r="L40" s="1"/>
      <c r="M40" s="1"/>
      <c r="N40" s="1"/>
      <c r="O40" s="1"/>
      <c r="P40" s="1"/>
      <c r="Q40" s="1"/>
      <c r="R40" s="1"/>
      <c r="S40" s="1"/>
      <c r="T40" s="1"/>
      <c r="U40" s="1"/>
      <c r="V40" s="1"/>
      <c r="W40" s="1"/>
      <c r="X40" s="1"/>
      <c r="Y40" s="1"/>
      <c r="Z40" s="1"/>
    </row>
    <row r="41">
      <c r="A41" s="1"/>
      <c r="B41" s="18"/>
      <c r="C41" s="1"/>
      <c r="D41" s="1"/>
      <c r="E41" s="1"/>
      <c r="F41" s="19"/>
      <c r="G41" s="1"/>
      <c r="H41" s="38"/>
      <c r="I41" s="16"/>
      <c r="J41" s="1"/>
      <c r="K41" s="1"/>
      <c r="L41" s="1"/>
      <c r="M41" s="1"/>
      <c r="N41" s="1"/>
      <c r="O41" s="1"/>
      <c r="P41" s="1"/>
      <c r="Q41" s="1"/>
      <c r="R41" s="1"/>
      <c r="S41" s="1"/>
      <c r="T41" s="1"/>
      <c r="U41" s="1"/>
      <c r="V41" s="1"/>
      <c r="W41" s="1"/>
      <c r="X41" s="1"/>
      <c r="Y41" s="1"/>
      <c r="Z41" s="1"/>
    </row>
    <row r="42">
      <c r="A42" s="1"/>
      <c r="B42" s="21" t="s">
        <v>44</v>
      </c>
      <c r="C42" s="1"/>
      <c r="D42" s="1"/>
      <c r="E42" s="1"/>
      <c r="F42" s="25">
        <f>IFERROR(VLOOKUP($C$2,Lookups!$A:$CR,39,0),0)</f>
        <v>2797653.73</v>
      </c>
      <c r="G42" s="1"/>
      <c r="H42" s="39" t="s">
        <v>45</v>
      </c>
      <c r="I42" s="40"/>
      <c r="J42" s="27"/>
      <c r="K42" s="1"/>
      <c r="L42" s="1"/>
      <c r="M42" s="1"/>
      <c r="N42" s="1"/>
      <c r="O42" s="1"/>
      <c r="P42" s="1"/>
      <c r="Q42" s="1"/>
      <c r="R42" s="1"/>
      <c r="S42" s="1"/>
      <c r="T42" s="1"/>
      <c r="U42" s="1"/>
      <c r="V42" s="1"/>
      <c r="W42" s="1"/>
      <c r="X42" s="1"/>
      <c r="Y42" s="1"/>
      <c r="Z42" s="1"/>
    </row>
    <row r="43">
      <c r="A43" s="1"/>
      <c r="B43" s="21" t="s">
        <v>46</v>
      </c>
      <c r="C43" s="1"/>
      <c r="D43" s="1"/>
      <c r="E43" s="1"/>
      <c r="F43" s="25">
        <f>IFERROR(VLOOKUP($C$2,Lookups!$A:$CR,40,0),0)</f>
        <v>77536.59</v>
      </c>
      <c r="G43" s="1"/>
      <c r="H43" s="39" t="s">
        <v>47</v>
      </c>
      <c r="I43" s="40"/>
      <c r="J43" s="27"/>
      <c r="K43" s="1"/>
      <c r="L43" s="1"/>
      <c r="M43" s="1"/>
      <c r="N43" s="1"/>
      <c r="O43" s="1"/>
      <c r="P43" s="1"/>
      <c r="Q43" s="1"/>
      <c r="R43" s="1"/>
      <c r="S43" s="1"/>
      <c r="T43" s="1"/>
      <c r="U43" s="1"/>
      <c r="V43" s="1"/>
      <c r="W43" s="1"/>
      <c r="X43" s="1"/>
      <c r="Y43" s="1"/>
      <c r="Z43" s="1"/>
    </row>
    <row r="44">
      <c r="A44" s="1"/>
      <c r="B44" s="21" t="s">
        <v>48</v>
      </c>
      <c r="C44" s="1"/>
      <c r="D44" s="1"/>
      <c r="E44" s="1"/>
      <c r="F44" s="25">
        <f>IFERROR(VLOOKUP($C$2,Lookups!$A:$CR,41,0),0)</f>
        <v>50091</v>
      </c>
      <c r="G44" s="1"/>
      <c r="H44" s="39" t="s">
        <v>49</v>
      </c>
      <c r="I44" s="40"/>
      <c r="J44" s="27"/>
      <c r="K44" s="1"/>
      <c r="L44" s="1"/>
      <c r="M44" s="1"/>
      <c r="N44" s="1"/>
      <c r="O44" s="1"/>
      <c r="P44" s="1"/>
      <c r="Q44" s="1"/>
      <c r="R44" s="1"/>
      <c r="S44" s="1"/>
      <c r="T44" s="1"/>
      <c r="U44" s="1"/>
      <c r="V44" s="1"/>
      <c r="W44" s="1"/>
      <c r="X44" s="1"/>
      <c r="Y44" s="1"/>
      <c r="Z44" s="1"/>
    </row>
    <row r="45">
      <c r="A45" s="1"/>
      <c r="B45" s="21" t="s">
        <v>50</v>
      </c>
      <c r="C45" s="1"/>
      <c r="D45" s="1"/>
      <c r="E45" s="1"/>
      <c r="F45" s="25">
        <f>IFERROR(VLOOKUP($C$2,Lookups!$A:$CR,42,0),0)</f>
        <v>180564.7</v>
      </c>
      <c r="G45" s="1"/>
      <c r="H45" s="39" t="s">
        <v>51</v>
      </c>
      <c r="I45" s="40"/>
      <c r="J45" s="27"/>
      <c r="K45" s="1"/>
      <c r="L45" s="1"/>
      <c r="M45" s="1"/>
      <c r="N45" s="1"/>
      <c r="O45" s="1"/>
      <c r="P45" s="1"/>
      <c r="Q45" s="1"/>
      <c r="R45" s="1"/>
      <c r="S45" s="1"/>
      <c r="T45" s="1"/>
      <c r="U45" s="1"/>
      <c r="V45" s="1"/>
      <c r="W45" s="1"/>
      <c r="X45" s="1"/>
      <c r="Y45" s="1"/>
      <c r="Z45" s="1"/>
    </row>
    <row r="46">
      <c r="A46" s="1"/>
      <c r="B46" s="21" t="s">
        <v>52</v>
      </c>
      <c r="C46" s="1"/>
      <c r="D46" s="1"/>
      <c r="E46" s="1"/>
      <c r="F46" s="25">
        <f>IFERROR(VLOOKUP($C$2,Lookups!$A:$CR,43,0),0)</f>
        <v>2644534.62</v>
      </c>
      <c r="G46" s="1"/>
      <c r="H46" s="39" t="s">
        <v>53</v>
      </c>
      <c r="I46" s="41" t="s">
        <v>54</v>
      </c>
      <c r="J46" s="1"/>
      <c r="K46" s="1"/>
      <c r="L46" s="1"/>
      <c r="M46" s="1"/>
      <c r="N46" s="1"/>
      <c r="O46" s="1"/>
      <c r="P46" s="1"/>
      <c r="Q46" s="1"/>
      <c r="R46" s="1"/>
      <c r="S46" s="1"/>
      <c r="T46" s="1"/>
      <c r="U46" s="1"/>
      <c r="V46" s="1"/>
      <c r="W46" s="1"/>
      <c r="X46" s="1"/>
      <c r="Y46" s="1"/>
      <c r="Z46" s="1"/>
    </row>
    <row r="47">
      <c r="A47" s="1"/>
      <c r="B47" s="21" t="s">
        <v>55</v>
      </c>
      <c r="C47" s="1"/>
      <c r="D47" s="1"/>
      <c r="E47" s="1"/>
      <c r="F47" s="42">
        <f>IFERROR(VLOOKUP($C$2,Lookups!$A:$CR,44,0),0)</f>
        <v>410</v>
      </c>
      <c r="G47" s="1"/>
      <c r="H47" s="39" t="s">
        <v>56</v>
      </c>
      <c r="I47" s="40"/>
      <c r="J47" s="27"/>
      <c r="K47" s="1"/>
      <c r="L47" s="1"/>
      <c r="M47" s="1"/>
      <c r="N47" s="1"/>
      <c r="O47" s="1"/>
      <c r="P47" s="1"/>
      <c r="Q47" s="1"/>
      <c r="R47" s="1"/>
      <c r="S47" s="1"/>
      <c r="T47" s="1"/>
      <c r="U47" s="1"/>
      <c r="V47" s="1"/>
      <c r="W47" s="1"/>
      <c r="X47" s="1"/>
      <c r="Y47" s="1"/>
      <c r="Z47" s="1"/>
    </row>
    <row r="48">
      <c r="A48" s="1"/>
      <c r="B48" s="21" t="s">
        <v>57</v>
      </c>
      <c r="C48" s="1"/>
      <c r="D48" s="1"/>
      <c r="E48" s="1"/>
      <c r="F48" s="25">
        <f>IFERROR(VLOOKUP($C$2,Lookups!$A:$CR,45,0),0)</f>
        <v>6450.084439</v>
      </c>
      <c r="G48" s="1"/>
      <c r="H48" s="39" t="s">
        <v>58</v>
      </c>
      <c r="I48" s="41" t="s">
        <v>59</v>
      </c>
      <c r="J48" s="27"/>
      <c r="K48" s="1"/>
      <c r="L48" s="1"/>
      <c r="M48" s="1"/>
      <c r="N48" s="1"/>
      <c r="O48" s="1"/>
      <c r="P48" s="1"/>
      <c r="Q48" s="1"/>
      <c r="R48" s="1"/>
      <c r="S48" s="1"/>
      <c r="T48" s="1"/>
      <c r="U48" s="1"/>
      <c r="V48" s="1"/>
      <c r="W48" s="1"/>
      <c r="X48" s="1"/>
      <c r="Y48" s="1"/>
      <c r="Z48" s="1"/>
    </row>
    <row r="49">
      <c r="A49" s="1"/>
      <c r="B49" s="21" t="s">
        <v>60</v>
      </c>
      <c r="C49" s="1"/>
      <c r="D49" s="1"/>
      <c r="E49" s="1"/>
      <c r="F49" s="25">
        <f>IFERROR(VLOOKUP($C$2,Lookups!$A:$CR,46,0),0)</f>
        <v>6450.084439</v>
      </c>
      <c r="G49" s="1"/>
      <c r="H49" s="39" t="s">
        <v>61</v>
      </c>
      <c r="I49" s="41" t="s">
        <v>62</v>
      </c>
      <c r="J49" s="27"/>
      <c r="K49" s="1"/>
      <c r="L49" s="1"/>
      <c r="M49" s="1"/>
      <c r="N49" s="1"/>
      <c r="O49" s="1"/>
      <c r="P49" s="1"/>
      <c r="Q49" s="1"/>
      <c r="R49" s="1"/>
      <c r="S49" s="1"/>
      <c r="T49" s="1"/>
      <c r="U49" s="1"/>
      <c r="V49" s="1"/>
      <c r="W49" s="1"/>
      <c r="X49" s="1"/>
      <c r="Y49" s="1"/>
      <c r="Z49" s="1"/>
    </row>
    <row r="50">
      <c r="A50" s="1"/>
      <c r="B50" s="21" t="s">
        <v>63</v>
      </c>
      <c r="C50" s="1"/>
      <c r="D50" s="1"/>
      <c r="E50" s="1"/>
      <c r="F50" s="42">
        <f>SUM(D12:D14)</f>
        <v>417</v>
      </c>
      <c r="G50" s="1"/>
      <c r="H50" s="39" t="s">
        <v>64</v>
      </c>
      <c r="I50" s="40"/>
      <c r="J50" s="27"/>
      <c r="K50" s="1"/>
      <c r="L50" s="1"/>
      <c r="M50" s="1"/>
      <c r="N50" s="1"/>
      <c r="O50" s="1"/>
      <c r="P50" s="1"/>
      <c r="Q50" s="1"/>
      <c r="R50" s="1"/>
      <c r="S50" s="1"/>
      <c r="T50" s="1"/>
      <c r="U50" s="1"/>
      <c r="V50" s="1"/>
      <c r="W50" s="1"/>
      <c r="X50" s="1"/>
      <c r="Y50" s="1"/>
      <c r="Z50" s="1"/>
    </row>
    <row r="51">
      <c r="A51" s="1"/>
      <c r="B51" s="21" t="s">
        <v>65</v>
      </c>
      <c r="C51" s="1"/>
      <c r="D51" s="1"/>
      <c r="E51" s="1"/>
      <c r="F51" s="25">
        <f>IFERROR(VLOOKUP($C$2,Lookups!$A:$CR,47,0),0)</f>
        <v>2689685.211</v>
      </c>
      <c r="G51" s="1"/>
      <c r="H51" s="39" t="s">
        <v>66</v>
      </c>
      <c r="I51" s="41" t="s">
        <v>67</v>
      </c>
      <c r="J51" s="27"/>
      <c r="K51" s="1"/>
      <c r="L51" s="1"/>
      <c r="M51" s="1"/>
      <c r="N51" s="1"/>
      <c r="O51" s="1"/>
      <c r="P51" s="1"/>
      <c r="Q51" s="1"/>
      <c r="R51" s="1"/>
      <c r="S51" s="1"/>
      <c r="T51" s="1"/>
      <c r="U51" s="1"/>
      <c r="V51" s="1"/>
      <c r="W51" s="1"/>
      <c r="X51" s="1"/>
      <c r="Y51" s="1"/>
      <c r="Z51" s="1"/>
    </row>
    <row r="52">
      <c r="A52" s="1"/>
      <c r="B52" s="21" t="s">
        <v>68</v>
      </c>
      <c r="C52" s="1"/>
      <c r="D52" s="1"/>
      <c r="E52" s="1"/>
      <c r="F52" s="25">
        <f>IFERROR(VLOOKUP($C$2,Lookups!$A:$CR,48,0),0)</f>
        <v>50091</v>
      </c>
      <c r="G52" s="1"/>
      <c r="H52" s="39" t="s">
        <v>69</v>
      </c>
      <c r="I52" s="40"/>
      <c r="J52" s="27"/>
      <c r="K52" s="1"/>
      <c r="L52" s="1"/>
      <c r="M52" s="1"/>
      <c r="N52" s="1"/>
      <c r="O52" s="1"/>
      <c r="P52" s="1"/>
      <c r="Q52" s="1"/>
      <c r="R52" s="1"/>
      <c r="S52" s="1"/>
      <c r="T52" s="1"/>
      <c r="U52" s="1"/>
      <c r="V52" s="1"/>
      <c r="W52" s="1"/>
      <c r="X52" s="1"/>
      <c r="Y52" s="1"/>
      <c r="Z52" s="1"/>
    </row>
    <row r="53">
      <c r="A53" s="1"/>
      <c r="B53" s="21" t="s">
        <v>70</v>
      </c>
      <c r="C53" s="1"/>
      <c r="D53" s="1"/>
      <c r="E53" s="1"/>
      <c r="F53" s="25">
        <f>IFERROR(VLOOKUP($C$2,Lookups!$A:$CR,49,0),0)</f>
        <v>180564.7</v>
      </c>
      <c r="G53" s="1"/>
      <c r="H53" s="39" t="s">
        <v>71</v>
      </c>
      <c r="I53" s="40"/>
      <c r="J53" s="27"/>
      <c r="K53" s="1"/>
      <c r="L53" s="1"/>
      <c r="M53" s="1"/>
      <c r="N53" s="1"/>
      <c r="O53" s="1"/>
      <c r="P53" s="1"/>
      <c r="Q53" s="1"/>
      <c r="R53" s="1"/>
      <c r="S53" s="1"/>
      <c r="T53" s="1"/>
      <c r="U53" s="1"/>
      <c r="V53" s="1"/>
      <c r="W53" s="1"/>
      <c r="X53" s="1"/>
      <c r="Y53" s="1"/>
      <c r="Z53" s="1"/>
    </row>
    <row r="54">
      <c r="A54" s="1"/>
      <c r="B54" s="18" t="s">
        <v>72</v>
      </c>
      <c r="C54" s="1"/>
      <c r="D54" s="1"/>
      <c r="E54" s="1"/>
      <c r="F54" s="25">
        <f>IFERROR(VLOOKUP($C$2,Lookups!$A:$CR,50,0),0)</f>
        <v>2920340.91</v>
      </c>
      <c r="G54" s="1"/>
      <c r="H54" s="43" t="s">
        <v>73</v>
      </c>
      <c r="I54" s="44" t="s">
        <v>74</v>
      </c>
      <c r="J54" s="27"/>
      <c r="K54" s="1"/>
      <c r="L54" s="1"/>
      <c r="M54" s="1"/>
      <c r="N54" s="1"/>
      <c r="O54" s="1"/>
      <c r="P54" s="1"/>
      <c r="Q54" s="1"/>
      <c r="R54" s="1"/>
      <c r="S54" s="1"/>
      <c r="T54" s="1"/>
      <c r="U54" s="1"/>
      <c r="V54" s="1"/>
      <c r="W54" s="1"/>
      <c r="X54" s="1"/>
      <c r="Y54" s="1"/>
      <c r="Z54" s="1"/>
    </row>
    <row r="55">
      <c r="A55" s="1"/>
      <c r="B55" s="20" t="s">
        <v>75</v>
      </c>
      <c r="C55" s="3"/>
      <c r="D55" s="3"/>
      <c r="E55" s="3"/>
      <c r="F55" s="30">
        <f>IFERROR(VLOOKUP($C$2,Lookups!$A:$CR,51,0),0)</f>
        <v>148830.43</v>
      </c>
      <c r="G55" s="31"/>
      <c r="H55" s="1" t="s">
        <v>76</v>
      </c>
      <c r="I55" s="1"/>
      <c r="J55" s="1"/>
      <c r="K55" s="1"/>
      <c r="L55" s="1"/>
      <c r="M55" s="1"/>
      <c r="N55" s="1"/>
      <c r="O55" s="1"/>
      <c r="P55" s="1"/>
      <c r="Q55" s="1"/>
      <c r="R55" s="1"/>
      <c r="S55" s="1"/>
      <c r="T55" s="1"/>
      <c r="U55" s="1"/>
      <c r="V55" s="1"/>
      <c r="W55" s="1"/>
      <c r="X55" s="1"/>
      <c r="Y55" s="1"/>
      <c r="Z55" s="1"/>
    </row>
    <row r="56">
      <c r="A56" s="1"/>
      <c r="B56" s="18"/>
      <c r="C56" s="1"/>
      <c r="D56" s="1"/>
      <c r="E56" s="1"/>
      <c r="F56" s="19"/>
      <c r="G56" s="1"/>
      <c r="H56" s="1"/>
      <c r="I56" s="1"/>
      <c r="J56" s="1"/>
      <c r="K56" s="1"/>
      <c r="L56" s="1"/>
      <c r="M56" s="1"/>
      <c r="N56" s="1"/>
      <c r="O56" s="1"/>
      <c r="P56" s="1"/>
      <c r="Q56" s="1"/>
      <c r="R56" s="1"/>
      <c r="S56" s="1"/>
      <c r="T56" s="1"/>
      <c r="U56" s="1"/>
      <c r="V56" s="1"/>
      <c r="W56" s="1"/>
      <c r="X56" s="1"/>
      <c r="Y56" s="1"/>
      <c r="Z56" s="1"/>
    </row>
    <row r="57">
      <c r="A57" s="1"/>
      <c r="B57" s="20" t="s">
        <v>77</v>
      </c>
      <c r="C57" s="1"/>
      <c r="D57" s="1"/>
      <c r="E57" s="1"/>
      <c r="F57" s="19"/>
      <c r="G57" s="1"/>
      <c r="H57" s="1"/>
      <c r="I57" s="1"/>
      <c r="J57" s="1"/>
      <c r="K57" s="1"/>
      <c r="L57" s="1"/>
      <c r="M57" s="1"/>
      <c r="N57" s="1"/>
      <c r="O57" s="1"/>
      <c r="P57" s="1"/>
      <c r="Q57" s="1"/>
      <c r="R57" s="1"/>
      <c r="S57" s="1"/>
      <c r="T57" s="1"/>
      <c r="U57" s="1"/>
      <c r="V57" s="1"/>
      <c r="W57" s="1"/>
      <c r="X57" s="1"/>
      <c r="Y57" s="1"/>
      <c r="Z57" s="1"/>
    </row>
    <row r="58">
      <c r="A58" s="1"/>
      <c r="B58" s="18"/>
      <c r="C58" s="1"/>
      <c r="D58" s="3" t="s">
        <v>78</v>
      </c>
      <c r="E58" s="3" t="s">
        <v>14</v>
      </c>
      <c r="F58" s="23" t="s">
        <v>77</v>
      </c>
      <c r="G58" s="1"/>
      <c r="H58" s="1"/>
      <c r="I58" s="1"/>
      <c r="J58" s="1"/>
      <c r="K58" s="1"/>
      <c r="L58" s="1"/>
      <c r="M58" s="1"/>
      <c r="N58" s="1"/>
      <c r="O58" s="1"/>
      <c r="P58" s="1"/>
      <c r="Q58" s="1"/>
      <c r="R58" s="1"/>
      <c r="S58" s="1"/>
      <c r="T58" s="1"/>
      <c r="U58" s="1"/>
      <c r="V58" s="1"/>
      <c r="W58" s="1"/>
      <c r="X58" s="1"/>
      <c r="Y58" s="1"/>
      <c r="Z58" s="1"/>
    </row>
    <row r="59">
      <c r="A59" s="1"/>
      <c r="B59" s="45" t="s">
        <v>79</v>
      </c>
      <c r="C59" s="1"/>
      <c r="D59" s="46">
        <f>D12+D13+D14</f>
        <v>417</v>
      </c>
      <c r="E59" s="27">
        <v>12.02</v>
      </c>
      <c r="F59" s="25">
        <f>IFERROR(VLOOKUP($C$2,Lookups!$A:$CR,53,0),0)</f>
        <v>5012.34</v>
      </c>
      <c r="G59" s="1"/>
      <c r="H59" s="1"/>
      <c r="I59" s="1"/>
      <c r="J59" s="1"/>
      <c r="K59" s="1"/>
      <c r="L59" s="1"/>
      <c r="M59" s="1"/>
      <c r="N59" s="1"/>
      <c r="O59" s="1"/>
      <c r="P59" s="1"/>
      <c r="Q59" s="1"/>
      <c r="R59" s="1"/>
      <c r="S59" s="1"/>
      <c r="T59" s="1"/>
      <c r="U59" s="1"/>
      <c r="V59" s="1"/>
      <c r="W59" s="1"/>
      <c r="X59" s="1"/>
      <c r="Y59" s="1"/>
      <c r="Z59" s="1"/>
    </row>
    <row r="60">
      <c r="A60" s="1"/>
      <c r="B60" s="45" t="s">
        <v>80</v>
      </c>
      <c r="C60" s="1"/>
      <c r="D60" s="46">
        <f>D23</f>
        <v>99.00837989</v>
      </c>
      <c r="E60" s="27">
        <v>86.0</v>
      </c>
      <c r="F60" s="25">
        <f>IFERROR(VLOOKUP($C$2,Lookups!$A:$CR,54,0),0)</f>
        <v>8514.72</v>
      </c>
      <c r="G60" s="1"/>
      <c r="H60" s="1"/>
      <c r="I60" s="1"/>
      <c r="J60" s="1"/>
      <c r="K60" s="1"/>
      <c r="L60" s="1"/>
      <c r="M60" s="1"/>
      <c r="N60" s="1"/>
      <c r="O60" s="1"/>
      <c r="P60" s="1"/>
      <c r="Q60" s="1"/>
      <c r="R60" s="1"/>
      <c r="S60" s="1"/>
      <c r="T60" s="1"/>
      <c r="U60" s="1"/>
      <c r="V60" s="1"/>
      <c r="W60" s="1"/>
      <c r="X60" s="1"/>
      <c r="Y60" s="1"/>
      <c r="Z60" s="1"/>
    </row>
    <row r="61">
      <c r="A61" s="1"/>
      <c r="B61" s="45" t="s">
        <v>81</v>
      </c>
      <c r="C61" s="1"/>
      <c r="D61" s="46">
        <f>D12+D13+D14</f>
        <v>417</v>
      </c>
      <c r="E61" s="27">
        <v>3.38</v>
      </c>
      <c r="F61" s="25">
        <f>IFERROR(VLOOKUP($C$2,Lookups!$A:$CR,55,0),0)</f>
        <v>1409.46</v>
      </c>
      <c r="G61" s="1"/>
      <c r="H61" s="1"/>
      <c r="I61" s="1"/>
      <c r="J61" s="1"/>
      <c r="K61" s="1"/>
      <c r="L61" s="1"/>
      <c r="M61" s="1"/>
      <c r="N61" s="1"/>
      <c r="O61" s="1"/>
      <c r="P61" s="1"/>
      <c r="Q61" s="1"/>
      <c r="R61" s="1"/>
      <c r="S61" s="1"/>
      <c r="T61" s="1"/>
      <c r="U61" s="1"/>
      <c r="V61" s="1"/>
      <c r="W61" s="1"/>
      <c r="X61" s="1"/>
      <c r="Y61" s="1"/>
      <c r="Z61" s="1"/>
    </row>
    <row r="62">
      <c r="A62" s="1"/>
      <c r="B62" s="45" t="s">
        <v>82</v>
      </c>
      <c r="C62" s="1"/>
      <c r="D62" s="46">
        <f>D12+D13+D14</f>
        <v>417</v>
      </c>
      <c r="E62" s="27">
        <v>3.02</v>
      </c>
      <c r="F62" s="25">
        <f>IFERROR(VLOOKUP($C$2,Lookups!$A:$CR,56,0),0)</f>
        <v>1259.34</v>
      </c>
      <c r="G62" s="1"/>
      <c r="H62" s="1"/>
      <c r="I62" s="1"/>
      <c r="J62" s="1"/>
      <c r="K62" s="1"/>
      <c r="L62" s="1"/>
      <c r="M62" s="1"/>
      <c r="N62" s="1"/>
      <c r="O62" s="1"/>
      <c r="P62" s="1"/>
      <c r="Q62" s="1"/>
      <c r="R62" s="1"/>
      <c r="S62" s="1"/>
      <c r="T62" s="1"/>
      <c r="U62" s="1"/>
      <c r="V62" s="1"/>
      <c r="W62" s="1"/>
      <c r="X62" s="1"/>
      <c r="Y62" s="1"/>
      <c r="Z62" s="1"/>
    </row>
    <row r="63">
      <c r="A63" s="1"/>
      <c r="B63" s="45" t="s">
        <v>83</v>
      </c>
      <c r="C63" s="1"/>
      <c r="D63" s="46">
        <f>D12+D13+D14</f>
        <v>417</v>
      </c>
      <c r="E63" s="27">
        <v>8.8</v>
      </c>
      <c r="F63" s="25">
        <f>IFERROR(VLOOKUP($C$2,Lookups!$A:$CR,57,0),0)</f>
        <v>3669.6</v>
      </c>
      <c r="G63" s="1"/>
      <c r="H63" s="1"/>
      <c r="I63" s="1"/>
      <c r="J63" s="1"/>
      <c r="K63" s="1"/>
      <c r="L63" s="1"/>
      <c r="M63" s="1"/>
      <c r="N63" s="1"/>
      <c r="O63" s="1"/>
      <c r="P63" s="1"/>
      <c r="Q63" s="1"/>
      <c r="R63" s="1"/>
      <c r="S63" s="1"/>
      <c r="T63" s="1"/>
      <c r="U63" s="1"/>
      <c r="V63" s="1"/>
      <c r="W63" s="1"/>
      <c r="X63" s="1"/>
      <c r="Y63" s="1"/>
      <c r="Z63" s="1"/>
    </row>
    <row r="64">
      <c r="A64" s="1"/>
      <c r="B64" s="45" t="s">
        <v>84</v>
      </c>
      <c r="C64" s="1"/>
      <c r="D64" s="46">
        <f>D12+D13+D14</f>
        <v>417</v>
      </c>
      <c r="E64" s="27">
        <v>26.1</v>
      </c>
      <c r="F64" s="25">
        <f>IFERROR(VLOOKUP($C$2,Lookups!$A:$CR,58,0),0)</f>
        <v>10883.7</v>
      </c>
      <c r="G64" s="1"/>
      <c r="H64" s="1"/>
      <c r="I64" s="1"/>
      <c r="J64" s="1"/>
      <c r="K64" s="1"/>
      <c r="L64" s="1"/>
      <c r="M64" s="1"/>
      <c r="N64" s="1"/>
      <c r="O64" s="1"/>
      <c r="P64" s="1"/>
      <c r="Q64" s="1"/>
      <c r="R64" s="1"/>
      <c r="S64" s="1"/>
      <c r="T64" s="1"/>
      <c r="U64" s="1"/>
      <c r="V64" s="1"/>
      <c r="W64" s="1"/>
      <c r="X64" s="1"/>
      <c r="Y64" s="1"/>
      <c r="Z64" s="1"/>
    </row>
    <row r="65">
      <c r="A65" s="1"/>
      <c r="B65" s="20" t="s">
        <v>85</v>
      </c>
      <c r="C65" s="1"/>
      <c r="D65" s="1"/>
      <c r="E65" s="1"/>
      <c r="F65" s="30">
        <f>IFERROR(VLOOKUP($C$2,Lookups!$A:$CR,59,0),0)</f>
        <v>30749.16</v>
      </c>
      <c r="G65" s="31"/>
      <c r="H65" s="1"/>
      <c r="I65" s="1"/>
      <c r="J65" s="1"/>
      <c r="K65" s="1"/>
      <c r="L65" s="1"/>
      <c r="M65" s="1"/>
      <c r="N65" s="1"/>
      <c r="O65" s="1"/>
      <c r="P65" s="1"/>
      <c r="Q65" s="1"/>
      <c r="R65" s="1"/>
      <c r="S65" s="1"/>
      <c r="T65" s="1"/>
      <c r="U65" s="1"/>
      <c r="V65" s="1"/>
      <c r="W65" s="1"/>
      <c r="X65" s="1"/>
      <c r="Y65" s="1"/>
      <c r="Z65" s="1"/>
    </row>
    <row r="66">
      <c r="A66" s="1"/>
      <c r="B66" s="32"/>
      <c r="C66" s="35"/>
      <c r="D66" s="35"/>
      <c r="E66" s="35"/>
      <c r="F66" s="37"/>
      <c r="G66" s="1"/>
      <c r="H66" s="1"/>
      <c r="I66" s="1"/>
      <c r="J66" s="1"/>
      <c r="K66" s="1"/>
      <c r="L66" s="1"/>
      <c r="M66" s="1"/>
      <c r="N66" s="1"/>
      <c r="O66" s="1"/>
      <c r="P66" s="1"/>
      <c r="Q66" s="1"/>
      <c r="R66" s="1"/>
      <c r="S66" s="1"/>
      <c r="T66" s="1"/>
      <c r="U66" s="1"/>
      <c r="V66" s="1"/>
      <c r="W66" s="1"/>
      <c r="X66" s="1"/>
      <c r="Y66" s="1"/>
      <c r="Z66" s="1"/>
    </row>
    <row r="67">
      <c r="A67" s="1"/>
      <c r="B67" s="1"/>
      <c r="C67" s="1"/>
      <c r="D67" s="1"/>
      <c r="E67" s="1"/>
      <c r="F67" s="1"/>
      <c r="G67" s="1"/>
      <c r="H67" s="1"/>
      <c r="I67" s="1"/>
      <c r="J67" s="1"/>
      <c r="K67" s="1"/>
      <c r="L67" s="1"/>
      <c r="M67" s="1"/>
      <c r="N67" s="1"/>
      <c r="O67" s="1"/>
      <c r="P67" s="1"/>
      <c r="Q67" s="1"/>
      <c r="R67" s="1"/>
      <c r="S67" s="1"/>
      <c r="T67" s="1"/>
      <c r="U67" s="1"/>
      <c r="V67" s="1"/>
      <c r="W67" s="1"/>
      <c r="X67" s="1"/>
      <c r="Y67" s="1"/>
      <c r="Z67" s="1"/>
    </row>
    <row r="68">
      <c r="A68" s="1"/>
      <c r="B68" s="14" t="s">
        <v>86</v>
      </c>
      <c r="C68" s="15"/>
      <c r="D68" s="15"/>
      <c r="E68" s="15"/>
      <c r="F68" s="16"/>
      <c r="G68" s="1"/>
      <c r="H68" s="1"/>
      <c r="I68" s="1"/>
      <c r="J68" s="1"/>
      <c r="K68" s="1"/>
      <c r="L68" s="1"/>
      <c r="M68" s="1"/>
      <c r="N68" s="1"/>
      <c r="O68" s="1"/>
      <c r="P68" s="1"/>
      <c r="Q68" s="1"/>
      <c r="R68" s="1"/>
      <c r="S68" s="1"/>
      <c r="T68" s="1"/>
      <c r="U68" s="1"/>
      <c r="V68" s="1"/>
      <c r="W68" s="1"/>
      <c r="X68" s="1"/>
      <c r="Y68" s="1"/>
      <c r="Z68" s="1"/>
    </row>
    <row r="69">
      <c r="A69" s="1"/>
      <c r="B69" s="18"/>
      <c r="C69" s="3"/>
      <c r="D69" s="1"/>
      <c r="E69" s="1"/>
      <c r="F69" s="25"/>
      <c r="G69" s="1"/>
      <c r="H69" s="1"/>
      <c r="I69" s="1"/>
      <c r="J69" s="1"/>
      <c r="K69" s="1"/>
      <c r="L69" s="1"/>
      <c r="M69" s="1"/>
      <c r="N69" s="1"/>
      <c r="O69" s="1"/>
      <c r="P69" s="1"/>
      <c r="Q69" s="1"/>
      <c r="R69" s="1"/>
      <c r="S69" s="1"/>
      <c r="T69" s="1"/>
      <c r="U69" s="1"/>
      <c r="V69" s="1"/>
      <c r="W69" s="1"/>
      <c r="X69" s="1"/>
      <c r="Y69" s="1"/>
      <c r="Z69" s="1"/>
    </row>
    <row r="70">
      <c r="A70" s="1"/>
      <c r="B70" s="20" t="s">
        <v>87</v>
      </c>
      <c r="C70" s="3" t="s">
        <v>88</v>
      </c>
      <c r="D70" s="1"/>
      <c r="E70" s="1"/>
      <c r="F70" s="25"/>
      <c r="G70" s="1"/>
      <c r="H70" s="1"/>
      <c r="I70" s="1"/>
      <c r="J70" s="1"/>
      <c r="K70" s="1"/>
      <c r="L70" s="1"/>
      <c r="M70" s="1"/>
      <c r="N70" s="1"/>
      <c r="O70" s="1"/>
      <c r="P70" s="1"/>
      <c r="Q70" s="1"/>
      <c r="R70" s="1"/>
      <c r="S70" s="1"/>
      <c r="T70" s="1"/>
      <c r="U70" s="1"/>
      <c r="V70" s="1"/>
      <c r="W70" s="1"/>
      <c r="X70" s="1"/>
      <c r="Y70" s="1"/>
      <c r="Z70" s="1"/>
    </row>
    <row r="71">
      <c r="A71" s="1"/>
      <c r="B71" s="18"/>
      <c r="C71" s="1"/>
      <c r="D71" s="1"/>
      <c r="E71" s="1"/>
      <c r="F71" s="25"/>
      <c r="G71" s="1"/>
      <c r="H71" s="1"/>
      <c r="I71" s="1"/>
      <c r="J71" s="1"/>
      <c r="K71" s="1"/>
      <c r="L71" s="1"/>
      <c r="M71" s="1"/>
      <c r="N71" s="1"/>
      <c r="O71" s="1"/>
      <c r="P71" s="1"/>
      <c r="Q71" s="1"/>
      <c r="R71" s="1"/>
      <c r="S71" s="1"/>
      <c r="T71" s="1"/>
      <c r="U71" s="1"/>
      <c r="V71" s="1"/>
      <c r="W71" s="1"/>
      <c r="X71" s="1"/>
      <c r="Y71" s="1"/>
      <c r="Z71" s="1"/>
    </row>
    <row r="72">
      <c r="A72" s="1"/>
      <c r="B72" s="18"/>
      <c r="C72" s="1"/>
      <c r="D72" s="47" t="s">
        <v>89</v>
      </c>
      <c r="E72" s="47" t="s">
        <v>90</v>
      </c>
      <c r="F72" s="48" t="s">
        <v>91</v>
      </c>
      <c r="G72" s="1"/>
      <c r="H72" s="1"/>
      <c r="I72" s="1"/>
      <c r="J72" s="1"/>
      <c r="K72" s="1"/>
      <c r="L72" s="1"/>
      <c r="M72" s="1"/>
      <c r="N72" s="1"/>
      <c r="O72" s="1"/>
      <c r="P72" s="1"/>
      <c r="Q72" s="1"/>
      <c r="R72" s="1"/>
      <c r="S72" s="1"/>
      <c r="T72" s="1"/>
      <c r="U72" s="1"/>
      <c r="V72" s="1"/>
      <c r="W72" s="1"/>
      <c r="X72" s="1"/>
      <c r="Y72" s="1"/>
      <c r="Z72" s="1"/>
    </row>
    <row r="73">
      <c r="A73" s="1"/>
      <c r="B73" s="18"/>
      <c r="C73" s="1"/>
      <c r="D73" s="1"/>
      <c r="E73" s="1"/>
      <c r="F73" s="25"/>
      <c r="G73" s="1"/>
      <c r="H73" s="1"/>
      <c r="I73" s="1"/>
      <c r="J73" s="1"/>
      <c r="K73" s="1"/>
      <c r="L73" s="1"/>
      <c r="M73" s="1"/>
      <c r="N73" s="1"/>
      <c r="O73" s="1"/>
      <c r="P73" s="1"/>
      <c r="Q73" s="1"/>
      <c r="R73" s="1"/>
      <c r="S73" s="1"/>
      <c r="T73" s="1"/>
      <c r="U73" s="1"/>
      <c r="V73" s="1"/>
      <c r="W73" s="1"/>
      <c r="X73" s="1"/>
      <c r="Y73" s="1"/>
      <c r="Z73" s="1"/>
    </row>
    <row r="74">
      <c r="A74" s="1"/>
      <c r="B74" s="18"/>
      <c r="C74" s="1" t="s">
        <v>92</v>
      </c>
      <c r="D74" s="49">
        <v>7.28</v>
      </c>
      <c r="E74" s="50">
        <f t="shared" ref="E74:E77" si="6">iferror(F74/D74,0)</f>
        <v>1</v>
      </c>
      <c r="F74" s="51">
        <f>IFERROR(VLOOKUP($C$2,Lookups!$A:$CR,89,0),0)</f>
        <v>7.28</v>
      </c>
      <c r="G74" s="1"/>
      <c r="H74" s="1"/>
      <c r="I74" s="1"/>
      <c r="J74" s="1"/>
      <c r="K74" s="1"/>
      <c r="L74" s="1"/>
      <c r="M74" s="1"/>
      <c r="N74" s="1"/>
      <c r="O74" s="1"/>
      <c r="P74" s="1"/>
      <c r="Q74" s="1"/>
      <c r="R74" s="1"/>
      <c r="S74" s="1"/>
      <c r="T74" s="1"/>
      <c r="U74" s="1"/>
      <c r="V74" s="1"/>
      <c r="W74" s="1"/>
      <c r="X74" s="1"/>
      <c r="Y74" s="1"/>
      <c r="Z74" s="1"/>
    </row>
    <row r="75">
      <c r="A75" s="1"/>
      <c r="B75" s="18"/>
      <c r="C75" s="1" t="s">
        <v>93</v>
      </c>
      <c r="D75" s="49">
        <v>0.73</v>
      </c>
      <c r="E75" s="50">
        <f t="shared" si="6"/>
        <v>0.1643835616</v>
      </c>
      <c r="F75" s="51">
        <f>IFERROR(VLOOKUP($C$2,Lookups!$A:$CR,90,0),0)</f>
        <v>0.12</v>
      </c>
      <c r="G75" s="1"/>
      <c r="H75" s="1"/>
      <c r="I75" s="1"/>
      <c r="J75" s="1"/>
      <c r="K75" s="1"/>
      <c r="L75" s="1"/>
      <c r="M75" s="1"/>
      <c r="N75" s="1"/>
      <c r="O75" s="1"/>
      <c r="P75" s="1"/>
      <c r="Q75" s="1"/>
      <c r="R75" s="1"/>
      <c r="S75" s="1"/>
      <c r="T75" s="1"/>
      <c r="U75" s="1"/>
      <c r="V75" s="1"/>
      <c r="W75" s="1"/>
      <c r="X75" s="1"/>
      <c r="Y75" s="1"/>
      <c r="Z75" s="1"/>
    </row>
    <row r="76">
      <c r="A76" s="1"/>
      <c r="B76" s="18"/>
      <c r="C76" s="1" t="s">
        <v>94</v>
      </c>
      <c r="D76" s="49">
        <v>1.98</v>
      </c>
      <c r="E76" s="50">
        <f t="shared" si="6"/>
        <v>0.07070707071</v>
      </c>
      <c r="F76" s="51">
        <f>IFERROR(VLOOKUP($C$2,Lookups!$A:$CR,91,0),0)</f>
        <v>0.14</v>
      </c>
      <c r="G76" s="1"/>
      <c r="H76" s="1"/>
      <c r="I76" s="1"/>
      <c r="J76" s="1"/>
      <c r="K76" s="1"/>
      <c r="L76" s="1"/>
      <c r="M76" s="1"/>
      <c r="N76" s="1"/>
      <c r="O76" s="1"/>
      <c r="P76" s="1"/>
      <c r="Q76" s="1"/>
      <c r="R76" s="1"/>
      <c r="S76" s="1"/>
      <c r="T76" s="1"/>
      <c r="U76" s="1"/>
      <c r="V76" s="1"/>
      <c r="W76" s="1"/>
      <c r="X76" s="1"/>
      <c r="Y76" s="1"/>
      <c r="Z76" s="1"/>
    </row>
    <row r="77">
      <c r="A77" s="1"/>
      <c r="B77" s="18"/>
      <c r="C77" s="1" t="s">
        <v>95</v>
      </c>
      <c r="D77" s="49">
        <v>0.68</v>
      </c>
      <c r="E77" s="50">
        <f t="shared" si="6"/>
        <v>1</v>
      </c>
      <c r="F77" s="51">
        <f>IFERROR(VLOOKUP($C$2,Lookups!$A:$CR,92,0),0)</f>
        <v>0.68</v>
      </c>
      <c r="G77" s="1"/>
      <c r="H77" s="1"/>
      <c r="I77" s="1"/>
      <c r="J77" s="1"/>
      <c r="K77" s="1"/>
      <c r="L77" s="1"/>
      <c r="M77" s="1"/>
      <c r="N77" s="1"/>
      <c r="O77" s="1"/>
      <c r="P77" s="1"/>
      <c r="Q77" s="1"/>
      <c r="R77" s="1"/>
      <c r="S77" s="1"/>
      <c r="T77" s="1"/>
      <c r="U77" s="1"/>
      <c r="V77" s="1"/>
      <c r="W77" s="1"/>
      <c r="X77" s="1"/>
      <c r="Y77" s="1"/>
      <c r="Z77" s="1"/>
    </row>
    <row r="78">
      <c r="A78" s="1"/>
      <c r="B78" s="18"/>
      <c r="C78" s="1"/>
      <c r="D78" s="1"/>
      <c r="E78" s="1"/>
      <c r="F78" s="25"/>
      <c r="G78" s="1"/>
      <c r="H78" s="1"/>
      <c r="I78" s="1"/>
      <c r="J78" s="1"/>
      <c r="K78" s="1"/>
      <c r="L78" s="1"/>
      <c r="M78" s="1"/>
      <c r="N78" s="1"/>
      <c r="O78" s="1"/>
      <c r="P78" s="1"/>
      <c r="Q78" s="1"/>
      <c r="R78" s="1"/>
      <c r="S78" s="1"/>
      <c r="T78" s="1"/>
      <c r="U78" s="1"/>
      <c r="V78" s="1"/>
      <c r="W78" s="1"/>
      <c r="X78" s="1"/>
      <c r="Y78" s="1"/>
      <c r="Z78" s="1"/>
    </row>
    <row r="79">
      <c r="A79" s="1"/>
      <c r="B79" s="18"/>
      <c r="C79" s="3" t="s">
        <v>96</v>
      </c>
      <c r="D79" s="1"/>
      <c r="E79" s="1"/>
      <c r="F79" s="52">
        <f>IFERROR(VLOOKUP($C$2,Lookups!$A:$CR,93,0),0)</f>
        <v>8.22</v>
      </c>
      <c r="G79" s="1"/>
      <c r="H79" s="1"/>
      <c r="I79" s="1"/>
      <c r="J79" s="1"/>
      <c r="K79" s="1"/>
      <c r="L79" s="1"/>
      <c r="M79" s="1"/>
      <c r="N79" s="1"/>
      <c r="O79" s="1"/>
      <c r="P79" s="1"/>
      <c r="Q79" s="1"/>
      <c r="R79" s="1"/>
      <c r="S79" s="1"/>
      <c r="T79" s="1"/>
      <c r="U79" s="1"/>
      <c r="V79" s="1"/>
      <c r="W79" s="1"/>
      <c r="X79" s="1"/>
      <c r="Y79" s="1"/>
      <c r="Z79" s="1"/>
    </row>
    <row r="80">
      <c r="A80" s="1"/>
      <c r="B80" s="18"/>
      <c r="C80" s="1"/>
      <c r="D80" s="1"/>
      <c r="E80" s="1"/>
      <c r="F80" s="25"/>
      <c r="G80" s="1"/>
      <c r="H80" s="1"/>
      <c r="K80" s="1"/>
      <c r="L80" s="1"/>
      <c r="M80" s="1"/>
      <c r="N80" s="1"/>
      <c r="O80" s="1"/>
      <c r="P80" s="1"/>
      <c r="Q80" s="1"/>
      <c r="R80" s="1"/>
      <c r="S80" s="1"/>
      <c r="T80" s="1"/>
      <c r="U80" s="1"/>
      <c r="V80" s="1"/>
      <c r="W80" s="1"/>
      <c r="X80" s="1"/>
      <c r="Y80" s="1"/>
      <c r="Z80" s="1"/>
    </row>
    <row r="81">
      <c r="A81" s="1"/>
      <c r="B81" s="18"/>
      <c r="C81" s="3" t="s">
        <v>97</v>
      </c>
      <c r="D81" s="3"/>
      <c r="E81" s="3"/>
      <c r="F81" s="53">
        <v>975.0</v>
      </c>
      <c r="G81" s="1"/>
      <c r="H81" s="1"/>
      <c r="K81" s="1"/>
      <c r="L81" s="1"/>
      <c r="M81" s="1"/>
      <c r="N81" s="1"/>
      <c r="O81" s="1"/>
      <c r="P81" s="1"/>
      <c r="Q81" s="1"/>
      <c r="R81" s="1"/>
      <c r="S81" s="1"/>
      <c r="T81" s="1"/>
      <c r="U81" s="1"/>
      <c r="V81" s="1"/>
      <c r="W81" s="1"/>
      <c r="X81" s="1"/>
      <c r="Y81" s="1"/>
      <c r="Z81" s="1"/>
    </row>
    <row r="82">
      <c r="A82" s="1"/>
      <c r="B82" s="18"/>
      <c r="C82" s="3" t="s">
        <v>98</v>
      </c>
      <c r="D82" s="3"/>
      <c r="E82" s="3"/>
      <c r="F82" s="53">
        <v>1.15</v>
      </c>
      <c r="G82" s="1"/>
      <c r="H82" s="1"/>
      <c r="K82" s="1"/>
      <c r="L82" s="1"/>
      <c r="M82" s="1"/>
      <c r="N82" s="1"/>
      <c r="O82" s="1"/>
      <c r="P82" s="1"/>
      <c r="Q82" s="1"/>
      <c r="R82" s="1"/>
      <c r="S82" s="1"/>
      <c r="T82" s="1"/>
      <c r="U82" s="1"/>
      <c r="V82" s="1"/>
      <c r="W82" s="1"/>
      <c r="X82" s="1"/>
      <c r="Y82" s="1"/>
      <c r="Z82" s="1"/>
    </row>
    <row r="83">
      <c r="A83" s="1"/>
      <c r="B83" s="18"/>
      <c r="C83" s="3" t="s">
        <v>99</v>
      </c>
      <c r="D83" s="3"/>
      <c r="E83" s="3"/>
      <c r="F83" s="53">
        <v>11.81</v>
      </c>
      <c r="G83" s="1"/>
      <c r="H83" s="1"/>
      <c r="K83" s="1"/>
      <c r="L83" s="1"/>
      <c r="M83" s="1"/>
      <c r="N83" s="1"/>
      <c r="O83" s="1"/>
      <c r="P83" s="1"/>
      <c r="Q83" s="1"/>
      <c r="R83" s="1"/>
      <c r="S83" s="1"/>
      <c r="T83" s="1"/>
      <c r="U83" s="1"/>
      <c r="V83" s="1"/>
      <c r="W83" s="1"/>
      <c r="X83" s="1"/>
      <c r="Y83" s="1"/>
      <c r="Z83" s="1"/>
    </row>
    <row r="84">
      <c r="A84" s="1"/>
      <c r="B84" s="18"/>
      <c r="C84" s="3" t="s">
        <v>100</v>
      </c>
      <c r="D84" s="3"/>
      <c r="E84" s="3"/>
      <c r="F84" s="53">
        <v>11.69</v>
      </c>
      <c r="G84" s="1"/>
      <c r="H84" s="1"/>
      <c r="K84" s="1"/>
      <c r="L84" s="1"/>
      <c r="M84" s="1"/>
      <c r="N84" s="1"/>
      <c r="O84" s="1"/>
      <c r="P84" s="1"/>
      <c r="Q84" s="1"/>
      <c r="R84" s="1"/>
      <c r="S84" s="1"/>
      <c r="T84" s="1"/>
      <c r="U84" s="1"/>
      <c r="V84" s="1"/>
      <c r="W84" s="1"/>
      <c r="X84" s="1"/>
      <c r="Y84" s="1"/>
      <c r="Z84" s="1"/>
    </row>
    <row r="85">
      <c r="A85" s="1"/>
      <c r="B85" s="18"/>
      <c r="C85" s="3" t="s">
        <v>101</v>
      </c>
      <c r="D85" s="3"/>
      <c r="E85" s="3"/>
      <c r="F85" s="53">
        <v>16.14</v>
      </c>
      <c r="G85" s="1"/>
      <c r="H85" s="1"/>
      <c r="K85" s="1"/>
      <c r="L85" s="1"/>
      <c r="M85" s="1"/>
      <c r="N85" s="1"/>
      <c r="O85" s="1"/>
      <c r="P85" s="1"/>
      <c r="Q85" s="1"/>
      <c r="R85" s="1"/>
      <c r="S85" s="1"/>
      <c r="T85" s="1"/>
      <c r="U85" s="1"/>
      <c r="V85" s="1"/>
      <c r="W85" s="1"/>
      <c r="X85" s="1"/>
      <c r="Y85" s="1"/>
      <c r="Z85" s="1"/>
    </row>
    <row r="86">
      <c r="A86" s="1"/>
      <c r="B86" s="18"/>
      <c r="C86" s="1"/>
      <c r="D86" s="1"/>
      <c r="E86" s="1"/>
      <c r="F86" s="25"/>
      <c r="G86" s="1"/>
      <c r="H86" s="1"/>
      <c r="K86" s="1"/>
      <c r="L86" s="1"/>
      <c r="M86" s="1"/>
      <c r="N86" s="1"/>
      <c r="O86" s="1"/>
      <c r="P86" s="1"/>
      <c r="Q86" s="1"/>
      <c r="R86" s="1"/>
      <c r="S86" s="1"/>
      <c r="T86" s="1"/>
      <c r="U86" s="1"/>
      <c r="V86" s="1"/>
      <c r="W86" s="1"/>
      <c r="X86" s="1"/>
      <c r="Y86" s="1"/>
      <c r="Z86" s="1"/>
    </row>
    <row r="87">
      <c r="A87" s="1"/>
      <c r="B87" s="20" t="s">
        <v>102</v>
      </c>
      <c r="C87" s="1"/>
      <c r="D87" s="1"/>
      <c r="E87" s="1"/>
      <c r="F87" s="25"/>
      <c r="G87" s="1"/>
      <c r="H87" s="1"/>
      <c r="K87" s="1"/>
      <c r="L87" s="1"/>
      <c r="M87" s="1"/>
      <c r="N87" s="1"/>
      <c r="O87" s="1"/>
      <c r="P87" s="1"/>
      <c r="Q87" s="1"/>
      <c r="R87" s="1"/>
      <c r="S87" s="1"/>
      <c r="T87" s="1"/>
      <c r="U87" s="1"/>
      <c r="V87" s="1"/>
      <c r="W87" s="1"/>
      <c r="X87" s="1"/>
      <c r="Y87" s="1"/>
      <c r="Z87" s="1"/>
    </row>
    <row r="88">
      <c r="A88" s="1"/>
      <c r="B88" s="18"/>
      <c r="C88" s="1"/>
      <c r="D88" s="1"/>
      <c r="E88" s="1"/>
      <c r="F88" s="25"/>
      <c r="G88" s="1"/>
      <c r="H88" s="1"/>
      <c r="K88" s="1"/>
      <c r="L88" s="1"/>
      <c r="M88" s="1"/>
      <c r="N88" s="1"/>
      <c r="O88" s="1"/>
      <c r="P88" s="1"/>
      <c r="Q88" s="1"/>
      <c r="R88" s="1"/>
      <c r="S88" s="1"/>
      <c r="T88" s="1"/>
      <c r="U88" s="1"/>
      <c r="V88" s="1"/>
      <c r="W88" s="1"/>
      <c r="X88" s="1"/>
      <c r="Y88" s="1"/>
      <c r="Z88" s="1"/>
    </row>
    <row r="89">
      <c r="A89" s="1"/>
      <c r="B89" s="18"/>
      <c r="C89" s="1"/>
      <c r="D89" s="1" t="s">
        <v>103</v>
      </c>
      <c r="E89" s="1" t="s">
        <v>104</v>
      </c>
      <c r="F89" s="54"/>
      <c r="G89" s="1"/>
      <c r="H89" s="1"/>
      <c r="K89" s="1"/>
      <c r="L89" s="1"/>
      <c r="M89" s="1"/>
      <c r="N89" s="1"/>
      <c r="O89" s="1"/>
      <c r="P89" s="1"/>
      <c r="Q89" s="1"/>
      <c r="R89" s="1"/>
      <c r="S89" s="1"/>
      <c r="T89" s="1"/>
      <c r="U89" s="1"/>
      <c r="V89" s="1"/>
      <c r="W89" s="1"/>
      <c r="X89" s="1"/>
      <c r="Y89" s="1"/>
      <c r="Z89" s="1"/>
    </row>
    <row r="90">
      <c r="A90" s="1"/>
      <c r="B90" s="18" t="s">
        <v>105</v>
      </c>
      <c r="C90" s="4"/>
      <c r="D90" s="1">
        <f>C90*15</f>
        <v>0</v>
      </c>
      <c r="E90" s="1">
        <f t="shared" ref="E90:E91" si="7">D90*13</f>
        <v>0</v>
      </c>
      <c r="F90" s="25">
        <f>E90*F79</f>
        <v>0</v>
      </c>
      <c r="G90" s="1"/>
      <c r="H90" s="1"/>
      <c r="K90" s="1"/>
      <c r="L90" s="1"/>
      <c r="M90" s="1"/>
      <c r="N90" s="1"/>
      <c r="O90" s="1"/>
      <c r="P90" s="1"/>
      <c r="Q90" s="1"/>
      <c r="R90" s="1"/>
      <c r="S90" s="1"/>
      <c r="T90" s="1"/>
      <c r="U90" s="1"/>
      <c r="V90" s="1"/>
      <c r="W90" s="1"/>
      <c r="X90" s="1"/>
      <c r="Y90" s="1"/>
      <c r="Z90" s="1"/>
    </row>
    <row r="91">
      <c r="A91" s="1"/>
      <c r="B91" s="18" t="s">
        <v>106</v>
      </c>
      <c r="C91" s="4"/>
      <c r="D91" s="1">
        <f>C91*30</f>
        <v>0</v>
      </c>
      <c r="E91" s="1">
        <f t="shared" si="7"/>
        <v>0</v>
      </c>
      <c r="F91" s="25">
        <f>E91*F79</f>
        <v>0</v>
      </c>
      <c r="G91" s="1"/>
      <c r="H91" s="1"/>
      <c r="K91" s="1"/>
      <c r="L91" s="1"/>
      <c r="M91" s="1"/>
      <c r="N91" s="1"/>
      <c r="O91" s="1"/>
      <c r="P91" s="1"/>
      <c r="Q91" s="1"/>
      <c r="R91" s="1"/>
      <c r="S91" s="1"/>
      <c r="T91" s="1"/>
      <c r="U91" s="1"/>
      <c r="V91" s="1"/>
      <c r="W91" s="1"/>
      <c r="X91" s="1"/>
      <c r="Y91" s="1"/>
      <c r="Z91" s="1"/>
    </row>
    <row r="92">
      <c r="A92" s="1"/>
      <c r="B92" s="18"/>
      <c r="C92" s="1"/>
      <c r="D92" s="1"/>
      <c r="E92" s="1"/>
      <c r="F92" s="25"/>
      <c r="G92" s="1"/>
      <c r="H92" s="1"/>
      <c r="K92" s="1"/>
      <c r="L92" s="1"/>
      <c r="M92" s="1"/>
      <c r="N92" s="1"/>
      <c r="O92" s="1"/>
      <c r="P92" s="1"/>
      <c r="Q92" s="1"/>
      <c r="R92" s="1"/>
      <c r="S92" s="1"/>
      <c r="T92" s="1"/>
      <c r="U92" s="1"/>
      <c r="V92" s="1"/>
      <c r="W92" s="1"/>
      <c r="X92" s="1"/>
      <c r="Y92" s="1"/>
      <c r="Z92" s="1"/>
    </row>
    <row r="93">
      <c r="A93" s="1"/>
      <c r="B93" s="18"/>
      <c r="C93" s="1"/>
      <c r="D93" s="15" t="s">
        <v>107</v>
      </c>
      <c r="E93" s="15">
        <f t="shared" ref="E93:F93" si="8">E90+E91</f>
        <v>0</v>
      </c>
      <c r="F93" s="55">
        <f t="shared" si="8"/>
        <v>0</v>
      </c>
      <c r="G93" s="1"/>
      <c r="H93" s="1"/>
      <c r="I93" s="1"/>
      <c r="J93" s="1"/>
      <c r="K93" s="1"/>
      <c r="L93" s="1"/>
      <c r="M93" s="1"/>
      <c r="N93" s="1"/>
      <c r="O93" s="1"/>
      <c r="P93" s="1"/>
      <c r="Q93" s="1"/>
      <c r="R93" s="1"/>
      <c r="S93" s="1"/>
      <c r="T93" s="1"/>
      <c r="U93" s="1"/>
      <c r="V93" s="1"/>
      <c r="W93" s="1"/>
      <c r="X93" s="1"/>
      <c r="Y93" s="1"/>
      <c r="Z93" s="1"/>
    </row>
    <row r="94">
      <c r="A94" s="1"/>
      <c r="B94" s="18"/>
      <c r="C94" s="1"/>
      <c r="D94" s="1"/>
      <c r="E94" s="1"/>
      <c r="F94" s="25"/>
      <c r="G94" s="1"/>
      <c r="H94" s="1"/>
      <c r="I94" s="1"/>
      <c r="J94" s="1"/>
      <c r="K94" s="1"/>
      <c r="L94" s="1"/>
      <c r="M94" s="1"/>
      <c r="N94" s="1"/>
      <c r="O94" s="1"/>
      <c r="P94" s="1"/>
      <c r="Q94" s="1"/>
      <c r="R94" s="1"/>
      <c r="S94" s="1"/>
      <c r="T94" s="1"/>
      <c r="U94" s="1"/>
      <c r="V94" s="1"/>
      <c r="W94" s="1"/>
      <c r="X94" s="1"/>
      <c r="Y94" s="1"/>
      <c r="Z94" s="1"/>
    </row>
    <row r="95">
      <c r="A95" s="1"/>
      <c r="B95" s="20" t="s">
        <v>108</v>
      </c>
      <c r="C95" s="1"/>
      <c r="D95" s="1"/>
      <c r="E95" s="1"/>
      <c r="F95" s="25"/>
      <c r="G95" s="1"/>
      <c r="H95" s="1"/>
      <c r="I95" s="1"/>
      <c r="J95" s="1"/>
      <c r="K95" s="1"/>
      <c r="L95" s="1"/>
      <c r="M95" s="1"/>
      <c r="N95" s="1"/>
      <c r="O95" s="1"/>
      <c r="P95" s="1"/>
      <c r="Q95" s="1"/>
      <c r="R95" s="1"/>
      <c r="S95" s="1"/>
      <c r="T95" s="1"/>
      <c r="U95" s="1"/>
      <c r="V95" s="1"/>
      <c r="W95" s="1"/>
      <c r="X95" s="1"/>
      <c r="Y95" s="1"/>
      <c r="Z95" s="1"/>
    </row>
    <row r="96">
      <c r="A96" s="1"/>
      <c r="B96" s="18"/>
      <c r="C96" s="1"/>
      <c r="D96" s="1"/>
      <c r="E96" s="1"/>
      <c r="F96" s="25"/>
      <c r="G96" s="1"/>
      <c r="H96" s="1"/>
      <c r="I96" s="1"/>
      <c r="J96" s="1"/>
      <c r="K96" s="1"/>
      <c r="L96" s="1"/>
      <c r="M96" s="1"/>
      <c r="N96" s="1"/>
      <c r="O96" s="1"/>
      <c r="P96" s="1"/>
      <c r="Q96" s="1"/>
      <c r="R96" s="1"/>
      <c r="S96" s="1"/>
      <c r="T96" s="1"/>
      <c r="U96" s="1"/>
      <c r="V96" s="1"/>
      <c r="W96" s="1"/>
      <c r="X96" s="1"/>
      <c r="Y96" s="1"/>
      <c r="Z96" s="1"/>
    </row>
    <row r="97">
      <c r="A97" s="1"/>
      <c r="B97" s="18"/>
      <c r="C97" s="1"/>
      <c r="D97" s="1" t="s">
        <v>103</v>
      </c>
      <c r="E97" s="1" t="s">
        <v>104</v>
      </c>
      <c r="F97" s="54" t="s">
        <v>109</v>
      </c>
      <c r="G97" s="1"/>
      <c r="H97" s="1"/>
      <c r="I97" s="1"/>
      <c r="J97" s="1"/>
      <c r="K97" s="1"/>
      <c r="L97" s="1"/>
      <c r="M97" s="1"/>
      <c r="N97" s="1"/>
      <c r="O97" s="1"/>
      <c r="P97" s="1"/>
      <c r="Q97" s="1"/>
      <c r="R97" s="1"/>
      <c r="S97" s="1"/>
      <c r="T97" s="1"/>
      <c r="U97" s="1"/>
      <c r="V97" s="1"/>
      <c r="W97" s="1"/>
      <c r="X97" s="1"/>
      <c r="Y97" s="1"/>
      <c r="Z97" s="1"/>
    </row>
    <row r="98">
      <c r="A98" s="1"/>
      <c r="B98" s="18" t="s">
        <v>110</v>
      </c>
      <c r="C98" s="4"/>
      <c r="D98" s="1">
        <f>C98*15</f>
        <v>0</v>
      </c>
      <c r="E98" s="1">
        <f t="shared" ref="E98:E99" si="9">D98*13</f>
        <v>0</v>
      </c>
      <c r="F98" s="25">
        <f t="shared" ref="F98:F99" si="10">E98*F83</f>
        <v>0</v>
      </c>
      <c r="G98" s="1"/>
      <c r="H98" s="1"/>
      <c r="I98" s="1"/>
      <c r="J98" s="1"/>
      <c r="K98" s="1"/>
      <c r="L98" s="1"/>
      <c r="M98" s="1"/>
      <c r="N98" s="1"/>
      <c r="O98" s="1"/>
      <c r="P98" s="1"/>
      <c r="Q98" s="1"/>
      <c r="R98" s="1"/>
      <c r="S98" s="1"/>
      <c r="T98" s="1"/>
      <c r="U98" s="1"/>
      <c r="V98" s="1"/>
      <c r="W98" s="1"/>
      <c r="X98" s="1"/>
      <c r="Y98" s="1"/>
      <c r="Z98" s="1"/>
    </row>
    <row r="99">
      <c r="A99" s="1"/>
      <c r="B99" s="21" t="s">
        <v>111</v>
      </c>
      <c r="C99" s="4"/>
      <c r="D99" s="1">
        <f>C99*30</f>
        <v>0</v>
      </c>
      <c r="E99" s="1">
        <f t="shared" si="9"/>
        <v>0</v>
      </c>
      <c r="F99" s="25">
        <f t="shared" si="10"/>
        <v>0</v>
      </c>
      <c r="G99" s="1"/>
      <c r="H99" s="1"/>
      <c r="I99" s="1"/>
      <c r="J99" s="1"/>
      <c r="K99" s="1"/>
      <c r="L99" s="1"/>
      <c r="M99" s="1"/>
      <c r="N99" s="1"/>
      <c r="O99" s="1"/>
      <c r="P99" s="1"/>
      <c r="Q99" s="1"/>
      <c r="R99" s="1"/>
      <c r="S99" s="1"/>
      <c r="T99" s="1"/>
      <c r="U99" s="1"/>
      <c r="V99" s="1"/>
      <c r="W99" s="1"/>
      <c r="X99" s="1"/>
      <c r="Y99" s="1"/>
      <c r="Z99" s="1"/>
    </row>
    <row r="100">
      <c r="A100" s="1"/>
      <c r="B100" s="18"/>
      <c r="C100" s="1"/>
      <c r="D100" s="1"/>
      <c r="E100" s="1"/>
      <c r="F100" s="25"/>
      <c r="G100" s="1"/>
      <c r="H100" s="1"/>
      <c r="I100" s="1"/>
      <c r="J100" s="1"/>
      <c r="K100" s="1"/>
      <c r="L100" s="1"/>
      <c r="M100" s="1"/>
      <c r="N100" s="1"/>
      <c r="O100" s="1"/>
      <c r="P100" s="1"/>
      <c r="Q100" s="1"/>
      <c r="R100" s="1"/>
      <c r="S100" s="1"/>
      <c r="T100" s="1"/>
      <c r="U100" s="1"/>
      <c r="V100" s="1"/>
      <c r="W100" s="1"/>
      <c r="X100" s="1"/>
      <c r="Y100" s="1"/>
      <c r="Z100" s="1"/>
    </row>
    <row r="101">
      <c r="A101" s="1"/>
      <c r="B101" s="18"/>
      <c r="C101" s="1"/>
      <c r="D101" s="15" t="s">
        <v>107</v>
      </c>
      <c r="E101" s="15">
        <f t="shared" ref="E101:F101" si="11">E98+E99</f>
        <v>0</v>
      </c>
      <c r="F101" s="55">
        <f t="shared" si="11"/>
        <v>0</v>
      </c>
      <c r="G101" s="1"/>
      <c r="H101" s="1"/>
      <c r="I101" s="1"/>
      <c r="J101" s="1"/>
      <c r="K101" s="1"/>
      <c r="L101" s="1"/>
      <c r="M101" s="1"/>
      <c r="N101" s="1"/>
      <c r="O101" s="1"/>
      <c r="P101" s="1"/>
      <c r="Q101" s="1"/>
      <c r="R101" s="1"/>
      <c r="S101" s="1"/>
      <c r="T101" s="1"/>
      <c r="U101" s="1"/>
      <c r="V101" s="1"/>
      <c r="W101" s="1"/>
      <c r="X101" s="1"/>
      <c r="Y101" s="1"/>
      <c r="Z101" s="1"/>
    </row>
    <row r="102">
      <c r="A102" s="1"/>
      <c r="B102" s="18"/>
      <c r="C102" s="1"/>
      <c r="D102" s="1"/>
      <c r="E102" s="1"/>
      <c r="F102" s="25"/>
      <c r="G102" s="1"/>
      <c r="H102" s="1"/>
      <c r="I102" s="1"/>
      <c r="J102" s="1"/>
      <c r="K102" s="1"/>
      <c r="L102" s="1"/>
      <c r="M102" s="1"/>
      <c r="N102" s="1"/>
      <c r="O102" s="1"/>
      <c r="P102" s="1"/>
      <c r="Q102" s="1"/>
      <c r="R102" s="1"/>
      <c r="S102" s="1"/>
      <c r="T102" s="1"/>
      <c r="U102" s="1"/>
      <c r="V102" s="1"/>
      <c r="W102" s="1"/>
      <c r="X102" s="1"/>
      <c r="Y102" s="1"/>
      <c r="Z102" s="1"/>
    </row>
    <row r="103">
      <c r="A103" s="1"/>
      <c r="B103" s="20" t="s">
        <v>112</v>
      </c>
      <c r="C103" s="1"/>
      <c r="D103" s="1"/>
      <c r="E103" s="1"/>
      <c r="F103" s="25"/>
      <c r="G103" s="1"/>
      <c r="H103" s="1"/>
      <c r="I103" s="1"/>
      <c r="J103" s="1"/>
      <c r="K103" s="1"/>
      <c r="L103" s="1"/>
      <c r="M103" s="1"/>
      <c r="N103" s="1"/>
      <c r="O103" s="1"/>
      <c r="P103" s="1"/>
      <c r="Q103" s="1"/>
      <c r="R103" s="1"/>
      <c r="S103" s="1"/>
      <c r="T103" s="1"/>
      <c r="U103" s="1"/>
      <c r="V103" s="1"/>
      <c r="W103" s="1"/>
      <c r="X103" s="1"/>
      <c r="Y103" s="1"/>
      <c r="Z103" s="1"/>
    </row>
    <row r="104">
      <c r="A104" s="1"/>
      <c r="B104" s="18"/>
      <c r="C104" s="1"/>
      <c r="D104" s="1"/>
      <c r="E104" s="1"/>
      <c r="F104" s="25"/>
      <c r="G104" s="1"/>
      <c r="H104" s="1"/>
      <c r="I104" s="1"/>
      <c r="J104" s="1"/>
      <c r="K104" s="1"/>
      <c r="L104" s="1"/>
      <c r="M104" s="1"/>
      <c r="N104" s="1"/>
      <c r="O104" s="1"/>
      <c r="P104" s="1"/>
      <c r="Q104" s="1"/>
      <c r="R104" s="1"/>
      <c r="S104" s="1"/>
      <c r="T104" s="1"/>
      <c r="U104" s="1"/>
      <c r="V104" s="1"/>
      <c r="W104" s="1"/>
      <c r="X104" s="1"/>
      <c r="Y104" s="1"/>
      <c r="Z104" s="1"/>
    </row>
    <row r="105">
      <c r="A105" s="1"/>
      <c r="B105" s="18"/>
      <c r="C105" s="1"/>
      <c r="D105" s="1" t="s">
        <v>103</v>
      </c>
      <c r="E105" s="1" t="s">
        <v>104</v>
      </c>
      <c r="F105" s="54" t="s">
        <v>109</v>
      </c>
      <c r="G105" s="1"/>
      <c r="H105" s="1"/>
      <c r="I105" s="1"/>
      <c r="J105" s="1"/>
      <c r="K105" s="1"/>
      <c r="L105" s="1"/>
      <c r="M105" s="1"/>
      <c r="N105" s="1"/>
      <c r="O105" s="1"/>
      <c r="P105" s="1"/>
      <c r="Q105" s="1"/>
      <c r="R105" s="1"/>
      <c r="S105" s="1"/>
      <c r="T105" s="1"/>
      <c r="U105" s="1"/>
      <c r="V105" s="1"/>
      <c r="W105" s="1"/>
      <c r="X105" s="1"/>
      <c r="Y105" s="1"/>
      <c r="Z105" s="1"/>
    </row>
    <row r="106">
      <c r="A106" s="1"/>
      <c r="B106" s="21" t="s">
        <v>111</v>
      </c>
      <c r="C106" s="4"/>
      <c r="D106" s="1">
        <f>C106*30</f>
        <v>0</v>
      </c>
      <c r="E106" s="1">
        <f>D106*13</f>
        <v>0</v>
      </c>
      <c r="F106" s="25">
        <f>E106*F85</f>
        <v>0</v>
      </c>
      <c r="G106" s="1"/>
      <c r="H106" s="1"/>
      <c r="I106" s="1"/>
      <c r="J106" s="1"/>
      <c r="K106" s="1"/>
      <c r="L106" s="1"/>
      <c r="M106" s="1"/>
      <c r="N106" s="1"/>
      <c r="O106" s="1"/>
      <c r="P106" s="1"/>
      <c r="Q106" s="1"/>
      <c r="R106" s="1"/>
      <c r="S106" s="1"/>
      <c r="T106" s="1"/>
      <c r="U106" s="1"/>
      <c r="V106" s="1"/>
      <c r="W106" s="1"/>
      <c r="X106" s="1"/>
      <c r="Y106" s="1"/>
      <c r="Z106" s="1"/>
    </row>
    <row r="107">
      <c r="A107" s="1"/>
      <c r="B107" s="18"/>
      <c r="C107" s="1"/>
      <c r="D107" s="1"/>
      <c r="E107" s="1"/>
      <c r="F107" s="25"/>
      <c r="G107" s="1"/>
      <c r="H107" s="1"/>
      <c r="I107" s="1"/>
      <c r="J107" s="1"/>
      <c r="K107" s="1"/>
      <c r="L107" s="1"/>
      <c r="M107" s="1"/>
      <c r="N107" s="1"/>
      <c r="O107" s="1"/>
      <c r="P107" s="1"/>
      <c r="Q107" s="1"/>
      <c r="R107" s="1"/>
      <c r="S107" s="1"/>
      <c r="T107" s="1"/>
      <c r="U107" s="1"/>
      <c r="V107" s="1"/>
      <c r="W107" s="1"/>
      <c r="X107" s="1"/>
      <c r="Y107" s="1"/>
      <c r="Z107" s="1"/>
    </row>
    <row r="108">
      <c r="A108" s="1"/>
      <c r="B108" s="18"/>
      <c r="C108" s="1"/>
      <c r="D108" s="15" t="s">
        <v>107</v>
      </c>
      <c r="E108" s="15">
        <f t="shared" ref="E108:F108" si="12">E106</f>
        <v>0</v>
      </c>
      <c r="F108" s="55">
        <f t="shared" si="12"/>
        <v>0</v>
      </c>
      <c r="G108" s="1"/>
      <c r="H108" s="1"/>
      <c r="I108" s="1"/>
      <c r="J108" s="1"/>
      <c r="K108" s="1"/>
      <c r="L108" s="1"/>
      <c r="M108" s="1"/>
      <c r="N108" s="1"/>
      <c r="O108" s="1"/>
      <c r="P108" s="1"/>
      <c r="Q108" s="1"/>
      <c r="R108" s="1"/>
      <c r="S108" s="1"/>
      <c r="T108" s="1"/>
      <c r="U108" s="1"/>
      <c r="V108" s="1"/>
      <c r="W108" s="1"/>
      <c r="X108" s="1"/>
      <c r="Y108" s="1"/>
      <c r="Z108" s="1"/>
    </row>
    <row r="109">
      <c r="A109" s="1"/>
      <c r="B109" s="18"/>
      <c r="C109" s="1"/>
      <c r="D109" s="1"/>
      <c r="E109" s="1"/>
      <c r="F109" s="25"/>
      <c r="G109" s="1"/>
      <c r="H109" s="1"/>
      <c r="I109" s="1"/>
      <c r="J109" s="1"/>
      <c r="K109" s="1"/>
      <c r="L109" s="1"/>
      <c r="M109" s="1"/>
      <c r="N109" s="1"/>
      <c r="O109" s="1"/>
      <c r="P109" s="1"/>
      <c r="Q109" s="1"/>
      <c r="R109" s="1"/>
      <c r="S109" s="1"/>
      <c r="T109" s="1"/>
      <c r="U109" s="1"/>
      <c r="V109" s="1"/>
      <c r="W109" s="1"/>
      <c r="X109" s="1"/>
      <c r="Y109" s="1"/>
      <c r="Z109" s="1"/>
    </row>
    <row r="110">
      <c r="A110" s="1"/>
      <c r="B110" s="20" t="s">
        <v>113</v>
      </c>
      <c r="C110" s="1"/>
      <c r="D110" s="1"/>
      <c r="E110" s="1"/>
      <c r="F110" s="25"/>
      <c r="G110" s="1"/>
      <c r="H110" s="1"/>
      <c r="I110" s="1"/>
      <c r="J110" s="1"/>
      <c r="K110" s="1"/>
      <c r="L110" s="1"/>
      <c r="M110" s="1"/>
      <c r="N110" s="1"/>
      <c r="O110" s="1"/>
      <c r="P110" s="1"/>
      <c r="Q110" s="1"/>
      <c r="R110" s="1"/>
      <c r="S110" s="1"/>
      <c r="T110" s="1"/>
      <c r="U110" s="1"/>
      <c r="V110" s="1"/>
      <c r="W110" s="1"/>
      <c r="X110" s="1"/>
      <c r="Y110" s="1"/>
      <c r="Z110" s="1"/>
    </row>
    <row r="111">
      <c r="A111" s="1"/>
      <c r="B111" s="18"/>
      <c r="C111" s="1"/>
      <c r="D111" s="1"/>
      <c r="E111" s="1"/>
      <c r="F111" s="25"/>
      <c r="G111" s="1"/>
      <c r="H111" s="1"/>
      <c r="I111" s="1"/>
      <c r="J111" s="1"/>
      <c r="K111" s="1"/>
      <c r="L111" s="1"/>
      <c r="M111" s="1"/>
      <c r="N111" s="1"/>
      <c r="O111" s="1"/>
      <c r="P111" s="1"/>
      <c r="Q111" s="1"/>
      <c r="R111" s="1"/>
      <c r="S111" s="1"/>
      <c r="T111" s="1"/>
      <c r="U111" s="1"/>
      <c r="V111" s="1"/>
      <c r="W111" s="1"/>
      <c r="X111" s="1"/>
      <c r="Y111" s="1"/>
      <c r="Z111" s="1"/>
    </row>
    <row r="112">
      <c r="A112" s="1"/>
      <c r="B112" s="18"/>
      <c r="C112" s="1"/>
      <c r="D112" s="1" t="s">
        <v>103</v>
      </c>
      <c r="E112" s="56" t="s">
        <v>114</v>
      </c>
      <c r="F112" s="54"/>
      <c r="G112" s="1"/>
      <c r="H112" s="1"/>
      <c r="I112" s="1"/>
      <c r="J112" s="1"/>
      <c r="K112" s="1"/>
      <c r="L112" s="1"/>
      <c r="M112" s="1"/>
      <c r="N112" s="1"/>
      <c r="O112" s="1"/>
      <c r="P112" s="1"/>
      <c r="Q112" s="1"/>
      <c r="R112" s="1"/>
      <c r="S112" s="1"/>
      <c r="T112" s="1"/>
      <c r="U112" s="1"/>
      <c r="V112" s="1"/>
      <c r="W112" s="1"/>
      <c r="X112" s="1"/>
      <c r="Y112" s="1"/>
      <c r="Z112" s="1"/>
    </row>
    <row r="113">
      <c r="A113" s="1"/>
      <c r="B113" s="18" t="s">
        <v>105</v>
      </c>
      <c r="C113" s="4"/>
      <c r="D113" s="1">
        <f>C113*15</f>
        <v>0</v>
      </c>
      <c r="E113" s="1">
        <f t="shared" ref="E113:E114" si="13">D113*14</f>
        <v>0</v>
      </c>
      <c r="F113" s="25">
        <f>E113*F79</f>
        <v>0</v>
      </c>
      <c r="G113" s="1"/>
      <c r="H113" s="1"/>
      <c r="K113" s="1"/>
      <c r="L113" s="1"/>
      <c r="M113" s="1"/>
      <c r="N113" s="1"/>
      <c r="O113" s="1"/>
      <c r="P113" s="1"/>
      <c r="Q113" s="1"/>
      <c r="R113" s="1"/>
      <c r="S113" s="1"/>
      <c r="T113" s="1"/>
      <c r="U113" s="1"/>
      <c r="V113" s="1"/>
      <c r="W113" s="1"/>
      <c r="X113" s="1"/>
      <c r="Y113" s="1"/>
      <c r="Z113" s="1"/>
    </row>
    <row r="114">
      <c r="A114" s="1"/>
      <c r="B114" s="18" t="s">
        <v>106</v>
      </c>
      <c r="C114" s="4"/>
      <c r="D114" s="1">
        <f>C114*30</f>
        <v>0</v>
      </c>
      <c r="E114" s="1">
        <f t="shared" si="13"/>
        <v>0</v>
      </c>
      <c r="F114" s="25">
        <f>E114*F79</f>
        <v>0</v>
      </c>
      <c r="G114" s="1"/>
      <c r="H114" s="1"/>
      <c r="K114" s="1"/>
      <c r="L114" s="1"/>
      <c r="M114" s="1"/>
      <c r="N114" s="1"/>
      <c r="O114" s="1"/>
      <c r="P114" s="1"/>
      <c r="Q114" s="1"/>
      <c r="R114" s="1"/>
      <c r="S114" s="1"/>
      <c r="T114" s="1"/>
      <c r="U114" s="1"/>
      <c r="V114" s="1"/>
      <c r="W114" s="1"/>
      <c r="X114" s="1"/>
      <c r="Y114" s="1"/>
      <c r="Z114" s="1"/>
    </row>
    <row r="115">
      <c r="A115" s="1"/>
      <c r="B115" s="18"/>
      <c r="C115" s="1"/>
      <c r="D115" s="1"/>
      <c r="E115" s="1"/>
      <c r="F115" s="25"/>
      <c r="G115" s="1"/>
      <c r="H115" s="1"/>
      <c r="K115" s="1"/>
      <c r="L115" s="1"/>
      <c r="M115" s="1"/>
      <c r="N115" s="1"/>
      <c r="O115" s="1"/>
      <c r="P115" s="1"/>
      <c r="Q115" s="1"/>
      <c r="R115" s="1"/>
      <c r="S115" s="1"/>
      <c r="T115" s="1"/>
      <c r="U115" s="1"/>
      <c r="V115" s="1"/>
      <c r="W115" s="1"/>
      <c r="X115" s="1"/>
      <c r="Y115" s="1"/>
      <c r="Z115" s="1"/>
    </row>
    <row r="116">
      <c r="A116" s="1"/>
      <c r="B116" s="18"/>
      <c r="C116" s="1"/>
      <c r="D116" s="15" t="s">
        <v>107</v>
      </c>
      <c r="E116" s="15">
        <f t="shared" ref="E116:F116" si="14">E113+E114</f>
        <v>0</v>
      </c>
      <c r="F116" s="55">
        <f t="shared" si="14"/>
        <v>0</v>
      </c>
      <c r="G116" s="1"/>
      <c r="H116" s="1"/>
      <c r="K116" s="1"/>
      <c r="L116" s="1"/>
      <c r="M116" s="1"/>
      <c r="N116" s="1"/>
      <c r="O116" s="1"/>
      <c r="P116" s="1"/>
      <c r="Q116" s="1"/>
      <c r="R116" s="1"/>
      <c r="S116" s="1"/>
      <c r="T116" s="1"/>
      <c r="U116" s="1"/>
      <c r="V116" s="1"/>
      <c r="W116" s="1"/>
      <c r="X116" s="1"/>
      <c r="Y116" s="1"/>
      <c r="Z116" s="1"/>
    </row>
    <row r="117">
      <c r="A117" s="1"/>
      <c r="B117" s="18"/>
      <c r="C117" s="1"/>
      <c r="D117" s="1"/>
      <c r="E117" s="1"/>
      <c r="F117" s="25"/>
      <c r="G117" s="1"/>
      <c r="H117" s="1"/>
      <c r="K117" s="1"/>
      <c r="L117" s="1"/>
      <c r="M117" s="1"/>
      <c r="N117" s="1"/>
      <c r="O117" s="1"/>
      <c r="P117" s="1"/>
      <c r="Q117" s="1"/>
      <c r="R117" s="1"/>
      <c r="S117" s="1"/>
      <c r="T117" s="1"/>
      <c r="U117" s="1"/>
      <c r="V117" s="1"/>
      <c r="W117" s="1"/>
      <c r="X117" s="1"/>
      <c r="Y117" s="1"/>
      <c r="Z117" s="1"/>
    </row>
    <row r="118">
      <c r="A118" s="1"/>
      <c r="B118" s="20" t="s">
        <v>115</v>
      </c>
      <c r="C118" s="1"/>
      <c r="D118" s="1"/>
      <c r="E118" s="1"/>
      <c r="F118" s="25"/>
      <c r="G118" s="1"/>
      <c r="H118" s="1"/>
      <c r="K118" s="1"/>
      <c r="L118" s="1"/>
      <c r="M118" s="1"/>
      <c r="N118" s="1"/>
      <c r="O118" s="1"/>
      <c r="P118" s="1"/>
      <c r="Q118" s="1"/>
      <c r="R118" s="1"/>
      <c r="S118" s="1"/>
      <c r="T118" s="1"/>
      <c r="U118" s="1"/>
      <c r="V118" s="1"/>
      <c r="W118" s="1"/>
      <c r="X118" s="1"/>
      <c r="Y118" s="1"/>
      <c r="Z118" s="1"/>
    </row>
    <row r="119">
      <c r="A119" s="1"/>
      <c r="B119" s="18"/>
      <c r="C119" s="1"/>
      <c r="D119" s="1"/>
      <c r="E119" s="1"/>
      <c r="F119" s="25"/>
      <c r="G119" s="1"/>
      <c r="H119" s="1"/>
      <c r="K119" s="1"/>
      <c r="L119" s="1"/>
      <c r="M119" s="1"/>
      <c r="N119" s="1"/>
      <c r="O119" s="1"/>
      <c r="P119" s="1"/>
      <c r="Q119" s="1"/>
      <c r="R119" s="1"/>
      <c r="S119" s="1"/>
      <c r="T119" s="1"/>
      <c r="U119" s="1"/>
      <c r="V119" s="1"/>
      <c r="W119" s="1"/>
      <c r="X119" s="1"/>
      <c r="Y119" s="1"/>
      <c r="Z119" s="1"/>
    </row>
    <row r="120">
      <c r="A120" s="1"/>
      <c r="B120" s="18"/>
      <c r="C120" s="1"/>
      <c r="D120" s="1" t="s">
        <v>103</v>
      </c>
      <c r="E120" s="56" t="s">
        <v>114</v>
      </c>
      <c r="F120" s="54" t="s">
        <v>109</v>
      </c>
      <c r="G120" s="1"/>
      <c r="H120" s="1"/>
      <c r="K120" s="1"/>
      <c r="L120" s="1"/>
      <c r="M120" s="1"/>
      <c r="N120" s="1"/>
      <c r="O120" s="1"/>
      <c r="P120" s="1"/>
      <c r="Q120" s="1"/>
      <c r="R120" s="1"/>
      <c r="S120" s="1"/>
      <c r="T120" s="1"/>
      <c r="U120" s="1"/>
      <c r="V120" s="1"/>
      <c r="W120" s="1"/>
      <c r="X120" s="1"/>
      <c r="Y120" s="1"/>
      <c r="Z120" s="1"/>
    </row>
    <row r="121">
      <c r="A121" s="1"/>
      <c r="B121" s="18" t="s">
        <v>110</v>
      </c>
      <c r="C121" s="4"/>
      <c r="D121" s="1">
        <f>C121*15</f>
        <v>0</v>
      </c>
      <c r="E121" s="1">
        <f t="shared" ref="E121:E122" si="15">D121*14</f>
        <v>0</v>
      </c>
      <c r="F121" s="25">
        <f t="shared" ref="F121:F122" si="16">E121*F83</f>
        <v>0</v>
      </c>
      <c r="G121" s="1"/>
      <c r="H121" s="1"/>
      <c r="K121" s="1"/>
      <c r="L121" s="1"/>
      <c r="M121" s="1"/>
      <c r="N121" s="1"/>
      <c r="O121" s="1"/>
      <c r="P121" s="1"/>
      <c r="Q121" s="1"/>
      <c r="R121" s="1"/>
      <c r="S121" s="1"/>
      <c r="T121" s="1"/>
      <c r="U121" s="1"/>
      <c r="V121" s="1"/>
      <c r="W121" s="1"/>
      <c r="X121" s="1"/>
      <c r="Y121" s="1"/>
      <c r="Z121" s="1"/>
    </row>
    <row r="122">
      <c r="A122" s="1"/>
      <c r="B122" s="18" t="s">
        <v>111</v>
      </c>
      <c r="C122" s="4"/>
      <c r="D122" s="1">
        <f>C122*30</f>
        <v>0</v>
      </c>
      <c r="E122" s="1">
        <f t="shared" si="15"/>
        <v>0</v>
      </c>
      <c r="F122" s="25">
        <f t="shared" si="16"/>
        <v>0</v>
      </c>
      <c r="G122" s="1"/>
      <c r="H122" s="1"/>
      <c r="K122" s="1"/>
      <c r="L122" s="1"/>
      <c r="M122" s="1"/>
      <c r="N122" s="1"/>
      <c r="O122" s="1"/>
      <c r="P122" s="1"/>
      <c r="Q122" s="1"/>
      <c r="R122" s="1"/>
      <c r="S122" s="1"/>
      <c r="T122" s="1"/>
      <c r="U122" s="1"/>
      <c r="V122" s="1"/>
      <c r="W122" s="1"/>
      <c r="X122" s="1"/>
      <c r="Y122" s="1"/>
      <c r="Z122" s="1"/>
    </row>
    <row r="123">
      <c r="A123" s="1"/>
      <c r="B123" s="18"/>
      <c r="C123" s="1"/>
      <c r="D123" s="1"/>
      <c r="E123" s="1"/>
      <c r="F123" s="25"/>
      <c r="G123" s="1"/>
      <c r="H123" s="1"/>
      <c r="K123" s="1"/>
      <c r="L123" s="1"/>
      <c r="M123" s="1"/>
      <c r="N123" s="1"/>
      <c r="O123" s="1"/>
      <c r="P123" s="1"/>
      <c r="Q123" s="1"/>
      <c r="R123" s="1"/>
      <c r="S123" s="1"/>
      <c r="T123" s="1"/>
      <c r="U123" s="1"/>
      <c r="V123" s="1"/>
      <c r="W123" s="1"/>
      <c r="X123" s="1"/>
      <c r="Y123" s="1"/>
      <c r="Z123" s="1"/>
    </row>
    <row r="124">
      <c r="A124" s="1"/>
      <c r="B124" s="18"/>
      <c r="C124" s="1"/>
      <c r="D124" s="15" t="s">
        <v>107</v>
      </c>
      <c r="E124" s="15">
        <f t="shared" ref="E124:F124" si="17">E121+E122</f>
        <v>0</v>
      </c>
      <c r="F124" s="55">
        <f t="shared" si="17"/>
        <v>0</v>
      </c>
      <c r="G124" s="1"/>
      <c r="H124" s="1"/>
      <c r="K124" s="1"/>
      <c r="L124" s="1"/>
      <c r="M124" s="1"/>
      <c r="N124" s="1"/>
      <c r="O124" s="1"/>
      <c r="P124" s="1"/>
      <c r="Q124" s="1"/>
      <c r="R124" s="1"/>
      <c r="S124" s="1"/>
      <c r="T124" s="1"/>
      <c r="U124" s="1"/>
      <c r="V124" s="1"/>
      <c r="W124" s="1"/>
      <c r="X124" s="1"/>
      <c r="Y124" s="1"/>
      <c r="Z124" s="1"/>
    </row>
    <row r="125">
      <c r="A125" s="1"/>
      <c r="B125" s="18"/>
      <c r="C125" s="1"/>
      <c r="D125" s="1"/>
      <c r="E125" s="1"/>
      <c r="F125" s="25"/>
      <c r="G125" s="1"/>
      <c r="H125" s="1"/>
      <c r="K125" s="1"/>
      <c r="L125" s="1"/>
      <c r="M125" s="1"/>
      <c r="N125" s="1"/>
      <c r="O125" s="1"/>
      <c r="P125" s="1"/>
      <c r="Q125" s="1"/>
      <c r="R125" s="1"/>
      <c r="S125" s="1"/>
      <c r="T125" s="1"/>
      <c r="U125" s="1"/>
      <c r="V125" s="1"/>
      <c r="W125" s="1"/>
      <c r="X125" s="1"/>
      <c r="Y125" s="1"/>
      <c r="Z125" s="1"/>
    </row>
    <row r="126">
      <c r="A126" s="1"/>
      <c r="B126" s="20" t="s">
        <v>116</v>
      </c>
      <c r="C126" s="1"/>
      <c r="D126" s="1"/>
      <c r="E126" s="1"/>
      <c r="F126" s="25"/>
      <c r="G126" s="1"/>
      <c r="H126" s="1"/>
      <c r="K126" s="1"/>
      <c r="L126" s="1"/>
      <c r="M126" s="1"/>
      <c r="N126" s="1"/>
      <c r="O126" s="1"/>
      <c r="P126" s="1"/>
      <c r="Q126" s="1"/>
      <c r="R126" s="1"/>
      <c r="S126" s="1"/>
      <c r="T126" s="1"/>
      <c r="U126" s="1"/>
      <c r="V126" s="1"/>
      <c r="W126" s="1"/>
      <c r="X126" s="1"/>
      <c r="Y126" s="1"/>
      <c r="Z126" s="1"/>
    </row>
    <row r="127">
      <c r="A127" s="1"/>
      <c r="B127" s="18"/>
      <c r="C127" s="1"/>
      <c r="D127" s="1"/>
      <c r="E127" s="1"/>
      <c r="F127" s="25"/>
      <c r="G127" s="1"/>
      <c r="H127" s="1"/>
      <c r="K127" s="1"/>
      <c r="L127" s="1"/>
      <c r="M127" s="1"/>
      <c r="N127" s="1"/>
      <c r="O127" s="1"/>
      <c r="P127" s="1"/>
      <c r="Q127" s="1"/>
      <c r="R127" s="1"/>
      <c r="S127" s="1"/>
      <c r="T127" s="1"/>
      <c r="U127" s="1"/>
      <c r="V127" s="1"/>
      <c r="W127" s="1"/>
      <c r="X127" s="1"/>
      <c r="Y127" s="1"/>
      <c r="Z127" s="1"/>
    </row>
    <row r="128">
      <c r="A128" s="1"/>
      <c r="B128" s="18"/>
      <c r="C128" s="1"/>
      <c r="D128" s="1" t="s">
        <v>103</v>
      </c>
      <c r="E128" s="56" t="s">
        <v>114</v>
      </c>
      <c r="F128" s="54" t="s">
        <v>109</v>
      </c>
      <c r="G128" s="1"/>
      <c r="H128" s="1"/>
      <c r="K128" s="1"/>
      <c r="L128" s="1"/>
      <c r="M128" s="1"/>
      <c r="N128" s="1"/>
      <c r="O128" s="1"/>
      <c r="P128" s="1"/>
      <c r="Q128" s="1"/>
      <c r="R128" s="1"/>
      <c r="S128" s="1"/>
      <c r="T128" s="1"/>
      <c r="U128" s="1"/>
      <c r="V128" s="1"/>
      <c r="W128" s="1"/>
      <c r="X128" s="1"/>
      <c r="Y128" s="1"/>
      <c r="Z128" s="1"/>
    </row>
    <row r="129">
      <c r="A129" s="1"/>
      <c r="B129" s="18" t="s">
        <v>111</v>
      </c>
      <c r="C129" s="4"/>
      <c r="D129" s="1">
        <f>C129*30</f>
        <v>0</v>
      </c>
      <c r="E129" s="1">
        <f>D129*14</f>
        <v>0</v>
      </c>
      <c r="F129" s="25">
        <f>E129*F85</f>
        <v>0</v>
      </c>
      <c r="G129" s="1"/>
      <c r="H129" s="1"/>
      <c r="K129" s="1"/>
      <c r="L129" s="1"/>
      <c r="M129" s="1"/>
      <c r="N129" s="1"/>
      <c r="O129" s="1"/>
      <c r="P129" s="1"/>
      <c r="Q129" s="1"/>
      <c r="R129" s="1"/>
      <c r="S129" s="1"/>
      <c r="T129" s="1"/>
      <c r="U129" s="1"/>
      <c r="V129" s="1"/>
      <c r="W129" s="1"/>
      <c r="X129" s="1"/>
      <c r="Y129" s="1"/>
      <c r="Z129" s="1"/>
    </row>
    <row r="130">
      <c r="A130" s="1"/>
      <c r="B130" s="18"/>
      <c r="C130" s="1"/>
      <c r="D130" s="1"/>
      <c r="E130" s="1"/>
      <c r="F130" s="25"/>
      <c r="G130" s="1"/>
      <c r="H130" s="1"/>
      <c r="K130" s="1"/>
      <c r="L130" s="1"/>
      <c r="M130" s="1"/>
      <c r="N130" s="1"/>
      <c r="O130" s="1"/>
      <c r="P130" s="1"/>
      <c r="Q130" s="1"/>
      <c r="R130" s="1"/>
      <c r="S130" s="1"/>
      <c r="T130" s="1"/>
      <c r="U130" s="1"/>
      <c r="V130" s="1"/>
      <c r="W130" s="1"/>
      <c r="X130" s="1"/>
      <c r="Y130" s="1"/>
      <c r="Z130" s="1"/>
    </row>
    <row r="131">
      <c r="A131" s="1"/>
      <c r="B131" s="18"/>
      <c r="C131" s="1"/>
      <c r="D131" s="15" t="s">
        <v>107</v>
      </c>
      <c r="E131" s="15">
        <f t="shared" ref="E131:F131" si="18">E129</f>
        <v>0</v>
      </c>
      <c r="F131" s="55">
        <f t="shared" si="18"/>
        <v>0</v>
      </c>
      <c r="G131" s="1"/>
      <c r="H131" s="1"/>
      <c r="K131" s="1"/>
      <c r="L131" s="1"/>
      <c r="M131" s="1"/>
      <c r="N131" s="1"/>
      <c r="O131" s="1"/>
      <c r="P131" s="1"/>
      <c r="Q131" s="1"/>
      <c r="R131" s="1"/>
      <c r="S131" s="1"/>
      <c r="T131" s="1"/>
      <c r="U131" s="1"/>
      <c r="V131" s="1"/>
      <c r="W131" s="1"/>
      <c r="X131" s="1"/>
      <c r="Y131" s="1"/>
      <c r="Z131" s="1"/>
    </row>
    <row r="132">
      <c r="A132" s="1"/>
      <c r="B132" s="18"/>
      <c r="C132" s="1"/>
      <c r="D132" s="1"/>
      <c r="E132" s="1"/>
      <c r="F132" s="25"/>
      <c r="G132" s="1"/>
      <c r="H132" s="1"/>
      <c r="K132" s="1"/>
      <c r="L132" s="1"/>
      <c r="M132" s="1"/>
      <c r="N132" s="1"/>
      <c r="O132" s="1"/>
      <c r="P132" s="1"/>
      <c r="Q132" s="1"/>
      <c r="R132" s="1"/>
      <c r="S132" s="1"/>
      <c r="T132" s="1"/>
      <c r="U132" s="1"/>
      <c r="V132" s="1"/>
      <c r="W132" s="1"/>
      <c r="X132" s="1"/>
      <c r="Y132" s="1"/>
      <c r="Z132" s="1"/>
    </row>
    <row r="133">
      <c r="A133" s="1"/>
      <c r="B133" s="20" t="s">
        <v>117</v>
      </c>
      <c r="C133" s="1"/>
      <c r="D133" s="1"/>
      <c r="E133" s="1"/>
      <c r="F133" s="25"/>
      <c r="G133" s="1"/>
      <c r="H133" s="1"/>
      <c r="K133" s="1"/>
      <c r="L133" s="1"/>
      <c r="M133" s="1"/>
      <c r="N133" s="1"/>
      <c r="O133" s="1"/>
      <c r="P133" s="1"/>
      <c r="Q133" s="1"/>
      <c r="R133" s="1"/>
      <c r="S133" s="1"/>
      <c r="T133" s="1"/>
      <c r="U133" s="1"/>
      <c r="V133" s="1"/>
      <c r="W133" s="1"/>
      <c r="X133" s="1"/>
      <c r="Y133" s="1"/>
      <c r="Z133" s="1"/>
    </row>
    <row r="134">
      <c r="A134" s="1"/>
      <c r="B134" s="18"/>
      <c r="C134" s="1"/>
      <c r="D134" s="1"/>
      <c r="E134" s="1"/>
      <c r="F134" s="25"/>
      <c r="G134" s="1"/>
      <c r="H134" s="1"/>
      <c r="K134" s="1"/>
      <c r="L134" s="1"/>
      <c r="M134" s="1"/>
      <c r="N134" s="1"/>
      <c r="O134" s="1"/>
      <c r="P134" s="1"/>
      <c r="Q134" s="1"/>
      <c r="R134" s="1"/>
      <c r="S134" s="1"/>
      <c r="T134" s="1"/>
      <c r="U134" s="1"/>
      <c r="V134" s="1"/>
      <c r="W134" s="1"/>
      <c r="X134" s="1"/>
      <c r="Y134" s="1"/>
      <c r="Z134" s="1"/>
    </row>
    <row r="135">
      <c r="A135" s="1"/>
      <c r="B135" s="18"/>
      <c r="C135" s="1"/>
      <c r="D135" s="1" t="s">
        <v>103</v>
      </c>
      <c r="E135" s="56" t="s">
        <v>118</v>
      </c>
      <c r="F135" s="54"/>
      <c r="G135" s="1"/>
      <c r="H135" s="1"/>
      <c r="K135" s="1"/>
      <c r="L135" s="1"/>
      <c r="M135" s="1"/>
      <c r="N135" s="1"/>
      <c r="O135" s="1"/>
      <c r="P135" s="1"/>
      <c r="Q135" s="1"/>
      <c r="R135" s="1"/>
      <c r="S135" s="1"/>
      <c r="T135" s="1"/>
      <c r="U135" s="1"/>
      <c r="V135" s="1"/>
      <c r="W135" s="1"/>
      <c r="X135" s="1"/>
      <c r="Y135" s="1"/>
      <c r="Z135" s="1"/>
    </row>
    <row r="136">
      <c r="A136" s="1"/>
      <c r="B136" s="18" t="s">
        <v>105</v>
      </c>
      <c r="C136" s="4"/>
      <c r="D136" s="1">
        <f>C136*15</f>
        <v>0</v>
      </c>
      <c r="E136" s="1">
        <f t="shared" ref="E136:E137" si="19">D136*11</f>
        <v>0</v>
      </c>
      <c r="F136" s="25">
        <f>E136*F79</f>
        <v>0</v>
      </c>
      <c r="G136" s="1"/>
      <c r="H136" s="1"/>
      <c r="K136" s="1"/>
      <c r="L136" s="1"/>
      <c r="M136" s="1"/>
      <c r="N136" s="1"/>
      <c r="O136" s="1"/>
      <c r="P136" s="1"/>
      <c r="Q136" s="1"/>
      <c r="R136" s="1"/>
      <c r="S136" s="1"/>
      <c r="T136" s="1"/>
      <c r="U136" s="1"/>
      <c r="V136" s="1"/>
      <c r="W136" s="1"/>
      <c r="X136" s="1"/>
      <c r="Y136" s="1"/>
      <c r="Z136" s="1"/>
    </row>
    <row r="137">
      <c r="A137" s="1"/>
      <c r="B137" s="18" t="s">
        <v>106</v>
      </c>
      <c r="C137" s="4"/>
      <c r="D137" s="1">
        <f>C137*30</f>
        <v>0</v>
      </c>
      <c r="E137" s="1">
        <f t="shared" si="19"/>
        <v>0</v>
      </c>
      <c r="F137" s="25">
        <f>E137*F79</f>
        <v>0</v>
      </c>
      <c r="G137" s="1"/>
      <c r="H137" s="1"/>
      <c r="K137" s="1"/>
      <c r="L137" s="1"/>
      <c r="M137" s="1"/>
      <c r="N137" s="1"/>
      <c r="O137" s="1"/>
      <c r="P137" s="1"/>
      <c r="Q137" s="1"/>
      <c r="R137" s="1"/>
      <c r="S137" s="1"/>
      <c r="T137" s="1"/>
      <c r="U137" s="1"/>
      <c r="V137" s="1"/>
      <c r="W137" s="1"/>
      <c r="X137" s="1"/>
      <c r="Y137" s="1"/>
      <c r="Z137" s="1"/>
    </row>
    <row r="138">
      <c r="A138" s="1"/>
      <c r="B138" s="18"/>
      <c r="C138" s="1"/>
      <c r="D138" s="1"/>
      <c r="E138" s="1"/>
      <c r="F138" s="25"/>
      <c r="G138" s="1"/>
      <c r="H138" s="1"/>
      <c r="K138" s="1"/>
      <c r="L138" s="1"/>
      <c r="M138" s="1"/>
      <c r="N138" s="1"/>
      <c r="O138" s="1"/>
      <c r="P138" s="1"/>
      <c r="Q138" s="1"/>
      <c r="R138" s="1"/>
      <c r="S138" s="1"/>
      <c r="T138" s="1"/>
      <c r="U138" s="1"/>
      <c r="V138" s="1"/>
      <c r="W138" s="1"/>
      <c r="X138" s="1"/>
      <c r="Y138" s="1"/>
      <c r="Z138" s="1"/>
    </row>
    <row r="139">
      <c r="A139" s="1"/>
      <c r="B139" s="18"/>
      <c r="C139" s="1"/>
      <c r="D139" s="15" t="s">
        <v>107</v>
      </c>
      <c r="E139" s="15">
        <f t="shared" ref="E139:F139" si="20">E136+E137</f>
        <v>0</v>
      </c>
      <c r="F139" s="55">
        <f t="shared" si="20"/>
        <v>0</v>
      </c>
      <c r="G139" s="1"/>
      <c r="H139" s="1"/>
      <c r="K139" s="1"/>
      <c r="L139" s="1"/>
      <c r="M139" s="1"/>
      <c r="N139" s="1"/>
      <c r="O139" s="1"/>
      <c r="P139" s="1"/>
      <c r="Q139" s="1"/>
      <c r="R139" s="1"/>
      <c r="S139" s="1"/>
      <c r="T139" s="1"/>
      <c r="U139" s="1"/>
      <c r="V139" s="1"/>
      <c r="W139" s="1"/>
      <c r="X139" s="1"/>
      <c r="Y139" s="1"/>
      <c r="Z139" s="1"/>
    </row>
    <row r="140">
      <c r="A140" s="1"/>
      <c r="B140" s="18"/>
      <c r="C140" s="1"/>
      <c r="D140" s="1"/>
      <c r="E140" s="1"/>
      <c r="F140" s="25"/>
      <c r="G140" s="1"/>
      <c r="H140" s="1"/>
      <c r="K140" s="1"/>
      <c r="L140" s="1"/>
      <c r="M140" s="1"/>
      <c r="N140" s="1"/>
      <c r="O140" s="1"/>
      <c r="P140" s="1"/>
      <c r="Q140" s="1"/>
      <c r="R140" s="1"/>
      <c r="S140" s="1"/>
      <c r="T140" s="1"/>
      <c r="U140" s="1"/>
      <c r="V140" s="1"/>
      <c r="W140" s="1"/>
      <c r="X140" s="1"/>
      <c r="Y140" s="1"/>
      <c r="Z140" s="1"/>
    </row>
    <row r="141">
      <c r="A141" s="1"/>
      <c r="B141" s="20" t="s">
        <v>119</v>
      </c>
      <c r="C141" s="1"/>
      <c r="D141" s="1"/>
      <c r="E141" s="1"/>
      <c r="F141" s="25"/>
      <c r="G141" s="1"/>
      <c r="H141" s="1"/>
      <c r="K141" s="1"/>
      <c r="L141" s="1"/>
      <c r="M141" s="1"/>
      <c r="N141" s="1"/>
      <c r="O141" s="1"/>
      <c r="P141" s="1"/>
      <c r="Q141" s="1"/>
      <c r="R141" s="1"/>
      <c r="S141" s="1"/>
      <c r="T141" s="1"/>
      <c r="U141" s="1"/>
      <c r="V141" s="1"/>
      <c r="W141" s="1"/>
      <c r="X141" s="1"/>
      <c r="Y141" s="1"/>
      <c r="Z141" s="1"/>
    </row>
    <row r="142">
      <c r="A142" s="1"/>
      <c r="B142" s="18"/>
      <c r="C142" s="1"/>
      <c r="D142" s="1"/>
      <c r="E142" s="1"/>
      <c r="F142" s="25"/>
      <c r="G142" s="1"/>
      <c r="H142" s="1"/>
      <c r="K142" s="1"/>
      <c r="L142" s="1"/>
      <c r="M142" s="1"/>
      <c r="N142" s="1"/>
      <c r="O142" s="1"/>
      <c r="P142" s="1"/>
      <c r="Q142" s="1"/>
      <c r="R142" s="1"/>
      <c r="S142" s="1"/>
      <c r="T142" s="1"/>
      <c r="U142" s="1"/>
      <c r="V142" s="1"/>
      <c r="W142" s="1"/>
      <c r="X142" s="1"/>
      <c r="Y142" s="1"/>
      <c r="Z142" s="1"/>
    </row>
    <row r="143">
      <c r="A143" s="1"/>
      <c r="B143" s="18"/>
      <c r="C143" s="1"/>
      <c r="D143" s="1" t="s">
        <v>103</v>
      </c>
      <c r="E143" s="56" t="s">
        <v>118</v>
      </c>
      <c r="F143" s="54" t="s">
        <v>109</v>
      </c>
      <c r="G143" s="1"/>
      <c r="H143" s="1"/>
      <c r="K143" s="1"/>
      <c r="L143" s="1"/>
      <c r="M143" s="1"/>
      <c r="N143" s="1"/>
      <c r="O143" s="1"/>
      <c r="P143" s="1"/>
      <c r="Q143" s="1"/>
      <c r="R143" s="1"/>
      <c r="S143" s="1"/>
      <c r="T143" s="1"/>
      <c r="U143" s="1"/>
      <c r="V143" s="1"/>
      <c r="W143" s="1"/>
      <c r="X143" s="1"/>
      <c r="Y143" s="1"/>
      <c r="Z143" s="1"/>
    </row>
    <row r="144">
      <c r="A144" s="1"/>
      <c r="B144" s="18" t="s">
        <v>110</v>
      </c>
      <c r="C144" s="4"/>
      <c r="D144" s="1">
        <f>C144*15</f>
        <v>0</v>
      </c>
      <c r="E144" s="1">
        <f t="shared" ref="E144:E145" si="21">D144*11</f>
        <v>0</v>
      </c>
      <c r="F144" s="25">
        <f t="shared" ref="F144:F145" si="22">E144*F83</f>
        <v>0</v>
      </c>
      <c r="G144" s="1"/>
      <c r="H144" s="1"/>
      <c r="K144" s="1"/>
      <c r="L144" s="1"/>
      <c r="M144" s="1"/>
      <c r="N144" s="1"/>
      <c r="O144" s="1"/>
      <c r="P144" s="1"/>
      <c r="Q144" s="1"/>
      <c r="R144" s="1"/>
      <c r="S144" s="1"/>
      <c r="T144" s="1"/>
      <c r="U144" s="1"/>
      <c r="V144" s="1"/>
      <c r="W144" s="1"/>
      <c r="X144" s="1"/>
      <c r="Y144" s="1"/>
      <c r="Z144" s="1"/>
    </row>
    <row r="145">
      <c r="A145" s="1"/>
      <c r="B145" s="18" t="s">
        <v>111</v>
      </c>
      <c r="C145" s="4"/>
      <c r="D145" s="1">
        <f>C145*30</f>
        <v>0</v>
      </c>
      <c r="E145" s="1">
        <f t="shared" si="21"/>
        <v>0</v>
      </c>
      <c r="F145" s="25">
        <f t="shared" si="22"/>
        <v>0</v>
      </c>
      <c r="G145" s="1"/>
      <c r="H145" s="1"/>
      <c r="K145" s="1"/>
      <c r="L145" s="1"/>
      <c r="M145" s="1"/>
      <c r="N145" s="1"/>
      <c r="O145" s="1"/>
      <c r="P145" s="1"/>
      <c r="Q145" s="1"/>
      <c r="R145" s="1"/>
      <c r="S145" s="1"/>
      <c r="T145" s="1"/>
      <c r="U145" s="1"/>
      <c r="V145" s="1"/>
      <c r="W145" s="1"/>
      <c r="X145" s="1"/>
      <c r="Y145" s="1"/>
      <c r="Z145" s="1"/>
    </row>
    <row r="146">
      <c r="A146" s="1"/>
      <c r="B146" s="18"/>
      <c r="C146" s="1"/>
      <c r="D146" s="1"/>
      <c r="E146" s="1"/>
      <c r="F146" s="25"/>
      <c r="G146" s="1"/>
      <c r="H146" s="1"/>
      <c r="K146" s="1"/>
      <c r="L146" s="1"/>
      <c r="M146" s="1"/>
      <c r="N146" s="1"/>
      <c r="O146" s="1"/>
      <c r="P146" s="1"/>
      <c r="Q146" s="1"/>
      <c r="R146" s="1"/>
      <c r="S146" s="1"/>
      <c r="T146" s="1"/>
      <c r="U146" s="1"/>
      <c r="V146" s="1"/>
      <c r="W146" s="1"/>
      <c r="X146" s="1"/>
      <c r="Y146" s="1"/>
      <c r="Z146" s="1"/>
    </row>
    <row r="147">
      <c r="A147" s="1"/>
      <c r="B147" s="18"/>
      <c r="C147" s="1"/>
      <c r="D147" s="15" t="s">
        <v>107</v>
      </c>
      <c r="E147" s="15">
        <f t="shared" ref="E147:F147" si="23">E144+E145</f>
        <v>0</v>
      </c>
      <c r="F147" s="55">
        <f t="shared" si="23"/>
        <v>0</v>
      </c>
      <c r="G147" s="1"/>
      <c r="H147" s="1"/>
      <c r="K147" s="1"/>
      <c r="L147" s="1"/>
      <c r="M147" s="1"/>
      <c r="N147" s="1"/>
      <c r="O147" s="1"/>
      <c r="P147" s="1"/>
      <c r="Q147" s="1"/>
      <c r="R147" s="1"/>
      <c r="S147" s="1"/>
      <c r="T147" s="1"/>
      <c r="U147" s="1"/>
      <c r="V147" s="1"/>
      <c r="W147" s="1"/>
      <c r="X147" s="1"/>
      <c r="Y147" s="1"/>
      <c r="Z147" s="1"/>
    </row>
    <row r="148">
      <c r="A148" s="1"/>
      <c r="B148" s="18"/>
      <c r="C148" s="1"/>
      <c r="D148" s="1"/>
      <c r="E148" s="1"/>
      <c r="F148" s="25"/>
      <c r="G148" s="1"/>
      <c r="H148" s="1"/>
      <c r="K148" s="1"/>
      <c r="L148" s="1"/>
      <c r="M148" s="1"/>
      <c r="N148" s="1"/>
      <c r="O148" s="1"/>
      <c r="P148" s="1"/>
      <c r="Q148" s="1"/>
      <c r="R148" s="1"/>
      <c r="S148" s="1"/>
      <c r="T148" s="1"/>
      <c r="U148" s="1"/>
      <c r="V148" s="1"/>
      <c r="W148" s="1"/>
      <c r="X148" s="1"/>
      <c r="Y148" s="1"/>
      <c r="Z148" s="1"/>
    </row>
    <row r="149">
      <c r="A149" s="1"/>
      <c r="B149" s="20" t="s">
        <v>120</v>
      </c>
      <c r="C149" s="1"/>
      <c r="D149" s="1"/>
      <c r="E149" s="1"/>
      <c r="F149" s="25"/>
      <c r="G149" s="1"/>
      <c r="H149" s="1"/>
      <c r="K149" s="1"/>
      <c r="L149" s="1"/>
      <c r="M149" s="1"/>
      <c r="N149" s="1"/>
      <c r="O149" s="1"/>
      <c r="P149" s="1"/>
      <c r="Q149" s="1"/>
      <c r="R149" s="1"/>
      <c r="S149" s="1"/>
      <c r="T149" s="1"/>
      <c r="U149" s="1"/>
      <c r="V149" s="1"/>
      <c r="W149" s="1"/>
      <c r="X149" s="1"/>
      <c r="Y149" s="1"/>
      <c r="Z149" s="1"/>
    </row>
    <row r="150">
      <c r="A150" s="1"/>
      <c r="B150" s="18"/>
      <c r="C150" s="1"/>
      <c r="D150" s="1"/>
      <c r="E150" s="1"/>
      <c r="F150" s="25"/>
      <c r="G150" s="1"/>
      <c r="H150" s="1"/>
      <c r="K150" s="1"/>
      <c r="L150" s="1"/>
      <c r="M150" s="1"/>
      <c r="N150" s="1"/>
      <c r="O150" s="1"/>
      <c r="P150" s="1"/>
      <c r="Q150" s="1"/>
      <c r="R150" s="1"/>
      <c r="S150" s="1"/>
      <c r="T150" s="1"/>
      <c r="U150" s="1"/>
      <c r="V150" s="1"/>
      <c r="W150" s="1"/>
      <c r="X150" s="1"/>
      <c r="Y150" s="1"/>
      <c r="Z150" s="1"/>
    </row>
    <row r="151">
      <c r="A151" s="1"/>
      <c r="B151" s="18"/>
      <c r="C151" s="1"/>
      <c r="D151" s="1" t="s">
        <v>103</v>
      </c>
      <c r="E151" s="56" t="s">
        <v>118</v>
      </c>
      <c r="F151" s="54" t="s">
        <v>109</v>
      </c>
      <c r="G151" s="1"/>
      <c r="H151" s="1"/>
      <c r="K151" s="1"/>
      <c r="L151" s="1"/>
      <c r="M151" s="1"/>
      <c r="N151" s="1"/>
      <c r="O151" s="1"/>
      <c r="P151" s="1"/>
      <c r="Q151" s="1"/>
      <c r="R151" s="1"/>
      <c r="S151" s="1"/>
      <c r="T151" s="1"/>
      <c r="U151" s="1"/>
      <c r="V151" s="1"/>
      <c r="W151" s="1"/>
      <c r="X151" s="1"/>
      <c r="Y151" s="1"/>
      <c r="Z151" s="1"/>
    </row>
    <row r="152">
      <c r="A152" s="1"/>
      <c r="B152" s="18" t="s">
        <v>111</v>
      </c>
      <c r="C152" s="4"/>
      <c r="D152" s="1">
        <f>C152*30</f>
        <v>0</v>
      </c>
      <c r="E152" s="1">
        <f>D152*11</f>
        <v>0</v>
      </c>
      <c r="F152" s="25">
        <f>E152*F85</f>
        <v>0</v>
      </c>
      <c r="G152" s="1"/>
      <c r="H152" s="1"/>
      <c r="K152" s="1"/>
      <c r="L152" s="1"/>
      <c r="M152" s="1"/>
      <c r="N152" s="1"/>
      <c r="O152" s="1"/>
      <c r="P152" s="1"/>
      <c r="Q152" s="1"/>
      <c r="R152" s="1"/>
      <c r="S152" s="1"/>
      <c r="T152" s="1"/>
      <c r="U152" s="1"/>
      <c r="V152" s="1"/>
      <c r="W152" s="1"/>
      <c r="X152" s="1"/>
      <c r="Y152" s="1"/>
      <c r="Z152" s="1"/>
    </row>
    <row r="153">
      <c r="A153" s="1"/>
      <c r="B153" s="18"/>
      <c r="C153" s="1"/>
      <c r="D153" s="1"/>
      <c r="E153" s="1"/>
      <c r="F153" s="25"/>
      <c r="G153" s="1"/>
      <c r="H153" s="1"/>
      <c r="K153" s="1"/>
      <c r="L153" s="1"/>
      <c r="M153" s="1"/>
      <c r="N153" s="1"/>
      <c r="O153" s="1"/>
      <c r="P153" s="1"/>
      <c r="Q153" s="1"/>
      <c r="R153" s="1"/>
      <c r="S153" s="1"/>
      <c r="T153" s="1"/>
      <c r="U153" s="1"/>
      <c r="V153" s="1"/>
      <c r="W153" s="1"/>
      <c r="X153" s="1"/>
      <c r="Y153" s="1"/>
      <c r="Z153" s="1"/>
    </row>
    <row r="154">
      <c r="A154" s="1"/>
      <c r="B154" s="18"/>
      <c r="C154" s="1"/>
      <c r="D154" s="15" t="s">
        <v>107</v>
      </c>
      <c r="E154" s="15">
        <f t="shared" ref="E154:F154" si="24">E152</f>
        <v>0</v>
      </c>
      <c r="F154" s="55">
        <f t="shared" si="24"/>
        <v>0</v>
      </c>
      <c r="G154" s="1"/>
      <c r="H154" s="1"/>
      <c r="K154" s="1"/>
      <c r="L154" s="1"/>
      <c r="M154" s="1"/>
      <c r="N154" s="1"/>
      <c r="O154" s="1"/>
      <c r="P154" s="1"/>
      <c r="Q154" s="1"/>
      <c r="R154" s="1"/>
      <c r="S154" s="1"/>
      <c r="T154" s="1"/>
      <c r="U154" s="1"/>
      <c r="V154" s="1"/>
      <c r="W154" s="1"/>
      <c r="X154" s="1"/>
      <c r="Y154" s="1"/>
      <c r="Z154" s="1"/>
    </row>
    <row r="155">
      <c r="A155" s="1"/>
      <c r="B155" s="18"/>
      <c r="C155" s="1"/>
      <c r="D155" s="1"/>
      <c r="E155" s="1"/>
      <c r="F155" s="25"/>
      <c r="G155" s="1"/>
      <c r="H155" s="1"/>
      <c r="K155" s="1"/>
      <c r="L155" s="1"/>
      <c r="M155" s="1"/>
      <c r="N155" s="1"/>
      <c r="O155" s="1"/>
      <c r="P155" s="1"/>
      <c r="Q155" s="1"/>
      <c r="R155" s="1"/>
      <c r="S155" s="1"/>
      <c r="T155" s="1"/>
      <c r="U155" s="1"/>
      <c r="V155" s="1"/>
      <c r="W155" s="1"/>
      <c r="X155" s="1"/>
      <c r="Y155" s="1"/>
      <c r="Z155" s="1"/>
    </row>
    <row r="156">
      <c r="A156" s="1"/>
      <c r="B156" s="20" t="s">
        <v>121</v>
      </c>
      <c r="C156" s="1"/>
      <c r="D156" s="1"/>
      <c r="E156" s="1"/>
      <c r="F156" s="25"/>
      <c r="G156" s="1"/>
      <c r="H156" s="1"/>
      <c r="K156" s="1"/>
      <c r="L156" s="1"/>
      <c r="M156" s="1"/>
      <c r="N156" s="1"/>
      <c r="O156" s="1"/>
      <c r="P156" s="1"/>
      <c r="Q156" s="1"/>
      <c r="R156" s="1"/>
      <c r="S156" s="1"/>
      <c r="T156" s="1"/>
      <c r="U156" s="1"/>
      <c r="V156" s="1"/>
      <c r="W156" s="1"/>
      <c r="X156" s="1"/>
      <c r="Y156" s="1"/>
      <c r="Z156" s="1"/>
    </row>
    <row r="157">
      <c r="A157" s="1"/>
      <c r="B157" s="18"/>
      <c r="C157" s="1"/>
      <c r="D157" s="1"/>
      <c r="E157" s="1"/>
      <c r="F157" s="25"/>
      <c r="G157" s="1"/>
      <c r="H157" s="1"/>
      <c r="I157" s="1"/>
      <c r="J157" s="1"/>
      <c r="K157" s="1"/>
      <c r="L157" s="1"/>
      <c r="M157" s="1"/>
      <c r="N157" s="1"/>
      <c r="O157" s="1"/>
      <c r="P157" s="1"/>
      <c r="Q157" s="1"/>
      <c r="R157" s="1"/>
      <c r="S157" s="1"/>
      <c r="T157" s="1"/>
      <c r="U157" s="1"/>
      <c r="V157" s="1"/>
      <c r="W157" s="1"/>
      <c r="X157" s="1"/>
      <c r="Y157" s="1"/>
      <c r="Z157" s="1"/>
    </row>
    <row r="158">
      <c r="A158" s="1"/>
      <c r="B158" s="18" t="s">
        <v>122</v>
      </c>
      <c r="C158" s="4"/>
      <c r="D158" s="1"/>
      <c r="E158" s="1"/>
      <c r="F158" s="25"/>
      <c r="G158" s="1"/>
      <c r="H158" s="1"/>
      <c r="I158" s="1"/>
      <c r="J158" s="1"/>
      <c r="K158" s="1"/>
      <c r="L158" s="1"/>
      <c r="M158" s="1"/>
      <c r="N158" s="1"/>
      <c r="O158" s="1"/>
      <c r="P158" s="1"/>
      <c r="Q158" s="1"/>
      <c r="R158" s="1"/>
      <c r="S158" s="1"/>
      <c r="T158" s="1"/>
      <c r="U158" s="1"/>
      <c r="V158" s="1"/>
      <c r="W158" s="1"/>
      <c r="X158" s="1"/>
      <c r="Y158" s="1"/>
      <c r="Z158" s="1"/>
    </row>
    <row r="159">
      <c r="A159" s="1"/>
      <c r="B159" s="21" t="s">
        <v>123</v>
      </c>
      <c r="C159" s="1"/>
      <c r="D159" s="1"/>
      <c r="E159" s="1"/>
      <c r="F159" s="25">
        <f>C158*F81</f>
        <v>0</v>
      </c>
      <c r="G159" s="1"/>
      <c r="H159" s="1"/>
      <c r="I159" s="1"/>
      <c r="J159" s="1"/>
      <c r="K159" s="1"/>
      <c r="L159" s="1"/>
      <c r="M159" s="1"/>
      <c r="N159" s="1"/>
      <c r="O159" s="1"/>
      <c r="P159" s="1"/>
      <c r="Q159" s="1"/>
      <c r="R159" s="1"/>
      <c r="S159" s="1"/>
      <c r="T159" s="1"/>
      <c r="U159" s="1"/>
      <c r="V159" s="1"/>
      <c r="W159" s="1"/>
      <c r="X159" s="1"/>
      <c r="Y159" s="1"/>
      <c r="Z159" s="1"/>
    </row>
    <row r="160">
      <c r="A160" s="1"/>
      <c r="B160" s="18"/>
      <c r="C160" s="1"/>
      <c r="D160" s="1"/>
      <c r="E160" s="1"/>
      <c r="F160" s="25"/>
      <c r="G160" s="1"/>
      <c r="H160" s="1"/>
      <c r="I160" s="1"/>
      <c r="J160" s="1"/>
      <c r="K160" s="1"/>
      <c r="L160" s="1"/>
      <c r="M160" s="1"/>
      <c r="N160" s="1"/>
      <c r="O160" s="1"/>
      <c r="P160" s="1"/>
      <c r="Q160" s="1"/>
      <c r="R160" s="1"/>
      <c r="S160" s="1"/>
      <c r="T160" s="1"/>
      <c r="U160" s="1"/>
      <c r="V160" s="1"/>
      <c r="W160" s="1"/>
      <c r="X160" s="1"/>
      <c r="Y160" s="1"/>
      <c r="Z160" s="1"/>
    </row>
    <row r="161">
      <c r="A161" s="1"/>
      <c r="B161" s="20" t="s">
        <v>98</v>
      </c>
      <c r="C161" s="1"/>
      <c r="D161" s="1"/>
      <c r="E161" s="1"/>
      <c r="F161" s="25"/>
      <c r="G161" s="1"/>
      <c r="H161" s="1"/>
      <c r="I161" s="1"/>
      <c r="J161" s="1"/>
      <c r="K161" s="1"/>
      <c r="L161" s="1"/>
      <c r="M161" s="1"/>
      <c r="N161" s="1"/>
      <c r="O161" s="1"/>
      <c r="P161" s="1"/>
      <c r="Q161" s="1"/>
      <c r="R161" s="1"/>
      <c r="S161" s="1"/>
      <c r="T161" s="1"/>
      <c r="U161" s="1"/>
      <c r="V161" s="1"/>
      <c r="W161" s="1"/>
      <c r="X161" s="1"/>
      <c r="Y161" s="1"/>
      <c r="Z161" s="1"/>
    </row>
    <row r="162">
      <c r="A162" s="1"/>
      <c r="B162" s="18"/>
      <c r="C162" s="1"/>
      <c r="D162" s="1"/>
      <c r="E162" s="1"/>
      <c r="F162" s="25"/>
      <c r="G162" s="1"/>
      <c r="H162" s="1"/>
      <c r="I162" s="1"/>
      <c r="J162" s="1"/>
      <c r="K162" s="1"/>
      <c r="L162" s="1"/>
      <c r="M162" s="1"/>
      <c r="N162" s="1"/>
      <c r="O162" s="1"/>
      <c r="P162" s="1"/>
      <c r="Q162" s="1"/>
      <c r="R162" s="1"/>
      <c r="S162" s="1"/>
      <c r="T162" s="1"/>
      <c r="U162" s="1"/>
      <c r="V162" s="1"/>
      <c r="W162" s="1"/>
      <c r="X162" s="1"/>
      <c r="Y162" s="1"/>
      <c r="Z162" s="1"/>
    </row>
    <row r="163">
      <c r="A163" s="1"/>
      <c r="B163" s="21" t="s">
        <v>124</v>
      </c>
      <c r="C163" s="4"/>
      <c r="D163" s="1"/>
      <c r="E163" s="1"/>
      <c r="F163" s="25"/>
      <c r="G163" s="1"/>
      <c r="H163" s="1"/>
      <c r="I163" s="1"/>
      <c r="J163" s="1"/>
      <c r="K163" s="1"/>
      <c r="L163" s="1"/>
      <c r="M163" s="1"/>
      <c r="N163" s="1"/>
      <c r="O163" s="1"/>
      <c r="P163" s="1"/>
      <c r="Q163" s="1"/>
      <c r="R163" s="1"/>
      <c r="S163" s="1"/>
      <c r="T163" s="1"/>
      <c r="U163" s="1"/>
      <c r="V163" s="1"/>
      <c r="W163" s="1"/>
      <c r="X163" s="1"/>
      <c r="Y163" s="1"/>
      <c r="Z163" s="1"/>
    </row>
    <row r="164">
      <c r="A164" s="1"/>
      <c r="B164" s="21" t="s">
        <v>125</v>
      </c>
      <c r="C164" s="4"/>
      <c r="D164" s="1"/>
      <c r="E164" s="1"/>
      <c r="F164" s="25"/>
      <c r="G164" s="1"/>
      <c r="H164" s="1"/>
      <c r="I164" s="1"/>
      <c r="J164" s="1"/>
      <c r="K164" s="1"/>
      <c r="L164" s="1"/>
      <c r="M164" s="1"/>
      <c r="N164" s="1"/>
      <c r="O164" s="1"/>
      <c r="P164" s="1"/>
      <c r="Q164" s="1"/>
      <c r="R164" s="1"/>
      <c r="S164" s="1"/>
      <c r="T164" s="1"/>
      <c r="U164" s="1"/>
      <c r="V164" s="1"/>
      <c r="W164" s="1"/>
      <c r="X164" s="1"/>
      <c r="Y164" s="1"/>
      <c r="Z164" s="1"/>
    </row>
    <row r="165">
      <c r="A165" s="1"/>
      <c r="B165" s="21" t="s">
        <v>126</v>
      </c>
      <c r="C165" s="4"/>
      <c r="D165" s="1"/>
      <c r="E165" s="1"/>
      <c r="F165" s="25"/>
      <c r="G165" s="1"/>
      <c r="H165" s="1"/>
      <c r="I165" s="1"/>
      <c r="J165" s="1"/>
      <c r="K165" s="1"/>
      <c r="L165" s="1"/>
      <c r="M165" s="1"/>
      <c r="N165" s="1"/>
      <c r="O165" s="1"/>
      <c r="P165" s="1"/>
      <c r="Q165" s="1"/>
      <c r="R165" s="1"/>
      <c r="S165" s="1"/>
      <c r="T165" s="1"/>
      <c r="U165" s="1"/>
      <c r="V165" s="1"/>
      <c r="W165" s="1"/>
      <c r="X165" s="1"/>
      <c r="Y165" s="1"/>
      <c r="Z165" s="1"/>
    </row>
    <row r="166">
      <c r="A166" s="1"/>
      <c r="B166" s="18" t="s">
        <v>127</v>
      </c>
      <c r="C166" s="57">
        <f>(C163*15*13)+(C164*15*14)+(C165*15*11)</f>
        <v>0</v>
      </c>
      <c r="D166" s="1"/>
      <c r="E166" s="1"/>
      <c r="F166" s="25"/>
      <c r="G166" s="1"/>
      <c r="H166" s="1"/>
      <c r="I166" s="1"/>
      <c r="J166" s="1"/>
      <c r="K166" s="1"/>
      <c r="L166" s="1"/>
      <c r="M166" s="1"/>
      <c r="N166" s="1"/>
      <c r="O166" s="1"/>
      <c r="P166" s="1"/>
      <c r="Q166" s="1"/>
      <c r="R166" s="1"/>
      <c r="S166" s="1"/>
      <c r="T166" s="1"/>
      <c r="U166" s="1"/>
      <c r="V166" s="1"/>
      <c r="W166" s="1"/>
      <c r="X166" s="1"/>
      <c r="Y166" s="1"/>
      <c r="Z166" s="1"/>
    </row>
    <row r="167">
      <c r="A167" s="1"/>
      <c r="B167" s="21" t="s">
        <v>128</v>
      </c>
      <c r="C167" s="1"/>
      <c r="D167" s="1"/>
      <c r="E167" s="1"/>
      <c r="F167" s="25">
        <f>C166*F82</f>
        <v>0</v>
      </c>
      <c r="G167" s="1"/>
      <c r="H167" s="1"/>
      <c r="I167" s="1"/>
      <c r="J167" s="1"/>
      <c r="K167" s="1"/>
      <c r="L167" s="1"/>
      <c r="M167" s="1"/>
      <c r="N167" s="1"/>
      <c r="O167" s="1"/>
      <c r="P167" s="1"/>
      <c r="Q167" s="1"/>
      <c r="R167" s="1"/>
      <c r="S167" s="1"/>
      <c r="T167" s="1"/>
      <c r="U167" s="1"/>
      <c r="V167" s="1"/>
      <c r="W167" s="1"/>
      <c r="X167" s="1"/>
      <c r="Y167" s="1"/>
      <c r="Z167" s="1"/>
    </row>
    <row r="168">
      <c r="A168" s="1"/>
      <c r="B168" s="18"/>
      <c r="C168" s="1"/>
      <c r="D168" s="1"/>
      <c r="E168" s="1"/>
      <c r="F168" s="25"/>
      <c r="G168" s="1"/>
      <c r="H168" s="1"/>
      <c r="I168" s="1"/>
      <c r="J168" s="1"/>
      <c r="K168" s="1"/>
      <c r="L168" s="1"/>
      <c r="M168" s="1"/>
      <c r="N168" s="1"/>
      <c r="O168" s="1"/>
      <c r="P168" s="1"/>
      <c r="Q168" s="1"/>
      <c r="R168" s="1"/>
      <c r="S168" s="1"/>
      <c r="T168" s="1"/>
      <c r="U168" s="1"/>
      <c r="V168" s="1"/>
      <c r="W168" s="1"/>
      <c r="X168" s="1"/>
      <c r="Y168" s="1"/>
      <c r="Z168" s="1"/>
    </row>
    <row r="169">
      <c r="A169" s="1"/>
      <c r="B169" s="18"/>
      <c r="C169" s="1"/>
      <c r="D169" s="1"/>
      <c r="E169" s="1"/>
      <c r="F169" s="25"/>
      <c r="G169" s="1"/>
      <c r="H169" s="1"/>
      <c r="I169" s="1"/>
      <c r="J169" s="1"/>
      <c r="K169" s="1"/>
      <c r="L169" s="1"/>
      <c r="M169" s="1"/>
      <c r="N169" s="1"/>
      <c r="O169" s="1"/>
      <c r="P169" s="1"/>
      <c r="Q169" s="1"/>
      <c r="R169" s="1"/>
      <c r="S169" s="1"/>
      <c r="T169" s="1"/>
      <c r="U169" s="1"/>
      <c r="V169" s="1"/>
      <c r="W169" s="1"/>
      <c r="X169" s="1"/>
      <c r="Y169" s="1"/>
      <c r="Z169" s="1"/>
    </row>
    <row r="170">
      <c r="A170" s="1"/>
      <c r="B170" s="58" t="s">
        <v>129</v>
      </c>
      <c r="C170" s="35"/>
      <c r="D170" s="35"/>
      <c r="E170" s="35"/>
      <c r="F170" s="33">
        <f>F93+F101+F116+F124+F131+F139+F147+F154+F159+F167+F108</f>
        <v>0</v>
      </c>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4" t="s">
        <v>130</v>
      </c>
      <c r="C173" s="15"/>
      <c r="D173" s="15"/>
      <c r="E173" s="15"/>
      <c r="F173" s="16"/>
      <c r="G173" s="1"/>
      <c r="H173" s="1"/>
      <c r="I173" s="1"/>
      <c r="J173" s="1"/>
      <c r="K173" s="1"/>
      <c r="L173" s="1"/>
      <c r="M173" s="1"/>
      <c r="N173" s="1"/>
      <c r="O173" s="1"/>
      <c r="P173" s="1"/>
      <c r="Q173" s="1"/>
      <c r="R173" s="1"/>
      <c r="S173" s="1"/>
      <c r="T173" s="1"/>
      <c r="U173" s="1"/>
      <c r="V173" s="1"/>
      <c r="W173" s="1"/>
      <c r="X173" s="1"/>
      <c r="Y173" s="1"/>
      <c r="Z173" s="1"/>
    </row>
    <row r="174">
      <c r="A174" s="1"/>
      <c r="B174" s="18"/>
      <c r="C174" s="1"/>
      <c r="D174" s="1"/>
      <c r="E174" s="1"/>
      <c r="F174" s="19"/>
      <c r="G174" s="1"/>
      <c r="H174" s="1"/>
      <c r="I174" s="1"/>
      <c r="J174" s="1"/>
      <c r="K174" s="1"/>
      <c r="L174" s="1"/>
      <c r="M174" s="1"/>
      <c r="N174" s="1"/>
      <c r="O174" s="1"/>
      <c r="P174" s="1"/>
      <c r="Q174" s="1"/>
      <c r="R174" s="1"/>
      <c r="S174" s="1"/>
      <c r="T174" s="1"/>
      <c r="U174" s="1"/>
      <c r="V174" s="1"/>
      <c r="W174" s="1"/>
      <c r="X174" s="1"/>
      <c r="Y174" s="1"/>
      <c r="Z174" s="1"/>
    </row>
    <row r="175">
      <c r="A175" s="1"/>
      <c r="B175" s="18"/>
      <c r="C175" s="1"/>
      <c r="D175" s="1"/>
      <c r="E175" s="1"/>
      <c r="F175" s="19"/>
      <c r="G175" s="1"/>
      <c r="H175" s="1"/>
      <c r="I175" s="1"/>
      <c r="J175" s="1"/>
      <c r="K175" s="1"/>
      <c r="L175" s="1"/>
      <c r="M175" s="1"/>
      <c r="N175" s="1"/>
      <c r="O175" s="1"/>
      <c r="P175" s="1"/>
      <c r="Q175" s="1"/>
      <c r="R175" s="1"/>
      <c r="S175" s="1"/>
      <c r="T175" s="1"/>
      <c r="U175" s="1"/>
      <c r="V175" s="1"/>
      <c r="W175" s="1"/>
      <c r="X175" s="1"/>
      <c r="Y175" s="1"/>
      <c r="Z175" s="1"/>
    </row>
    <row r="176">
      <c r="A176" s="1"/>
      <c r="B176" s="18" t="s">
        <v>131</v>
      </c>
      <c r="C176" s="1"/>
      <c r="D176" s="1"/>
      <c r="E176" s="1"/>
      <c r="F176" s="19"/>
      <c r="G176" s="1"/>
      <c r="H176" s="1"/>
      <c r="I176" s="1"/>
      <c r="J176" s="1"/>
      <c r="K176" s="1"/>
      <c r="L176" s="1"/>
      <c r="M176" s="1"/>
      <c r="N176" s="1"/>
      <c r="O176" s="1"/>
      <c r="P176" s="1"/>
      <c r="Q176" s="1"/>
      <c r="R176" s="1"/>
      <c r="S176" s="1"/>
      <c r="T176" s="1"/>
      <c r="U176" s="1"/>
      <c r="V176" s="1"/>
      <c r="W176" s="1"/>
      <c r="X176" s="1"/>
      <c r="Y176" s="1"/>
      <c r="Z176" s="1"/>
    </row>
    <row r="177">
      <c r="A177" s="1"/>
      <c r="B177" s="18" t="s">
        <v>132</v>
      </c>
      <c r="C177" s="1"/>
      <c r="D177" s="1"/>
      <c r="E177" s="1"/>
      <c r="F177" s="19"/>
      <c r="G177" s="1"/>
      <c r="H177" s="1"/>
      <c r="I177" s="1"/>
      <c r="J177" s="1"/>
      <c r="K177" s="1"/>
      <c r="L177" s="1"/>
      <c r="M177" s="1"/>
      <c r="N177" s="1"/>
      <c r="O177" s="1"/>
      <c r="P177" s="1"/>
      <c r="Q177" s="1"/>
      <c r="R177" s="1"/>
      <c r="S177" s="1"/>
      <c r="T177" s="1"/>
      <c r="U177" s="1"/>
      <c r="V177" s="1"/>
      <c r="W177" s="1"/>
      <c r="X177" s="1"/>
      <c r="Y177" s="1"/>
      <c r="Z177" s="1"/>
    </row>
    <row r="178">
      <c r="A178" s="1"/>
      <c r="B178" s="34"/>
      <c r="C178" s="1"/>
      <c r="D178" s="1"/>
      <c r="E178" s="1"/>
      <c r="F178" s="19"/>
      <c r="G178" s="1"/>
      <c r="H178" s="1"/>
      <c r="I178" s="56"/>
      <c r="J178" s="1"/>
      <c r="K178" s="1"/>
      <c r="L178" s="1"/>
      <c r="M178" s="1"/>
      <c r="N178" s="1"/>
      <c r="O178" s="1"/>
      <c r="P178" s="1"/>
      <c r="Q178" s="1"/>
      <c r="R178" s="1"/>
      <c r="S178" s="1"/>
      <c r="T178" s="1"/>
      <c r="U178" s="1"/>
      <c r="V178" s="1"/>
      <c r="W178" s="1"/>
      <c r="X178" s="1"/>
      <c r="Y178" s="1"/>
      <c r="Z178" s="1"/>
    </row>
    <row r="179">
      <c r="A179" s="1"/>
      <c r="B179" s="21" t="s">
        <v>133</v>
      </c>
      <c r="C179" s="57">
        <f>IFERROR(VLOOKUP($C$2,Lookups!$A:$CR,84,0),0)</f>
        <v>0</v>
      </c>
      <c r="D179" s="1"/>
      <c r="E179" s="1"/>
      <c r="F179" s="19"/>
      <c r="G179" s="1"/>
      <c r="H179" s="1"/>
      <c r="I179" s="56"/>
      <c r="J179" s="1"/>
      <c r="K179" s="1"/>
      <c r="L179" s="1"/>
      <c r="M179" s="1"/>
      <c r="N179" s="1"/>
      <c r="O179" s="1"/>
      <c r="P179" s="1"/>
      <c r="Q179" s="1"/>
      <c r="R179" s="1"/>
      <c r="S179" s="1"/>
      <c r="T179" s="1"/>
      <c r="U179" s="1"/>
      <c r="V179" s="1"/>
      <c r="W179" s="1"/>
      <c r="X179" s="1"/>
      <c r="Y179" s="1"/>
      <c r="Z179" s="1"/>
    </row>
    <row r="180">
      <c r="A180" s="1"/>
      <c r="B180" s="21" t="s">
        <v>134</v>
      </c>
      <c r="C180" s="59">
        <f>C179</f>
        <v>0</v>
      </c>
      <c r="D180" s="1"/>
      <c r="E180" s="1"/>
      <c r="F180" s="19"/>
      <c r="G180" s="1"/>
      <c r="H180" s="1"/>
      <c r="I180" s="1"/>
      <c r="J180" s="1"/>
      <c r="K180" s="1"/>
      <c r="L180" s="1"/>
      <c r="M180" s="1"/>
      <c r="N180" s="1"/>
      <c r="O180" s="1"/>
      <c r="P180" s="1"/>
      <c r="Q180" s="1"/>
      <c r="R180" s="1"/>
      <c r="S180" s="1"/>
      <c r="T180" s="1"/>
      <c r="U180" s="1"/>
      <c r="V180" s="1"/>
      <c r="W180" s="1"/>
      <c r="X180" s="1"/>
      <c r="Y180" s="1"/>
      <c r="Z180" s="1"/>
    </row>
    <row r="181">
      <c r="A181" s="1"/>
      <c r="B181" s="21" t="s">
        <v>135</v>
      </c>
      <c r="C181" s="60">
        <f>(C179*(5/12))+(C180*(7/12))</f>
        <v>0</v>
      </c>
      <c r="D181" s="1"/>
      <c r="E181" s="1"/>
      <c r="F181" s="19"/>
      <c r="G181" s="1"/>
      <c r="H181" s="1"/>
      <c r="I181" s="1"/>
      <c r="J181" s="1"/>
      <c r="K181" s="1"/>
      <c r="L181" s="1"/>
      <c r="M181" s="1"/>
      <c r="N181" s="1"/>
      <c r="O181" s="1"/>
      <c r="P181" s="1"/>
      <c r="Q181" s="1"/>
      <c r="R181" s="1"/>
      <c r="S181" s="1"/>
      <c r="T181" s="1"/>
      <c r="U181" s="1"/>
      <c r="V181" s="1"/>
      <c r="W181" s="1"/>
      <c r="X181" s="1"/>
      <c r="Y181" s="1"/>
      <c r="Z181" s="1"/>
    </row>
    <row r="182">
      <c r="A182" s="1"/>
      <c r="B182" s="18" t="s">
        <v>136</v>
      </c>
      <c r="C182" s="1"/>
      <c r="D182" s="1"/>
      <c r="E182" s="1"/>
      <c r="F182" s="25">
        <f>6000*C181</f>
        <v>0</v>
      </c>
      <c r="G182" s="1"/>
      <c r="H182" s="1"/>
      <c r="I182" s="1"/>
      <c r="J182" s="1"/>
      <c r="K182" s="56"/>
      <c r="L182" s="1"/>
      <c r="M182" s="1"/>
      <c r="N182" s="1"/>
      <c r="O182" s="1"/>
      <c r="P182" s="1"/>
      <c r="Q182" s="1"/>
      <c r="R182" s="1"/>
      <c r="S182" s="1"/>
      <c r="T182" s="1"/>
      <c r="U182" s="1"/>
      <c r="V182" s="1"/>
      <c r="W182" s="1"/>
      <c r="X182" s="1"/>
      <c r="Y182" s="1"/>
      <c r="Z182" s="1"/>
    </row>
    <row r="183">
      <c r="A183" s="1"/>
      <c r="B183" s="18"/>
      <c r="C183" s="1"/>
      <c r="D183" s="1"/>
      <c r="E183" s="1"/>
      <c r="F183" s="19"/>
      <c r="G183" s="1"/>
      <c r="H183" s="1"/>
      <c r="I183" s="1"/>
      <c r="J183" s="1"/>
      <c r="K183" s="1"/>
      <c r="L183" s="1"/>
      <c r="M183" s="1"/>
      <c r="N183" s="1"/>
      <c r="O183" s="1"/>
      <c r="P183" s="1"/>
      <c r="Q183" s="1"/>
      <c r="R183" s="1"/>
      <c r="S183" s="1"/>
      <c r="T183" s="1"/>
      <c r="U183" s="1"/>
      <c r="V183" s="1"/>
      <c r="W183" s="1"/>
      <c r="X183" s="1"/>
      <c r="Y183" s="1"/>
      <c r="Z183" s="1"/>
    </row>
    <row r="184">
      <c r="A184" s="1"/>
      <c r="B184" s="21" t="s">
        <v>137</v>
      </c>
      <c r="C184" s="1"/>
      <c r="D184" s="1"/>
      <c r="E184" s="1"/>
      <c r="F184" s="19"/>
      <c r="G184" s="1"/>
      <c r="H184" s="1"/>
      <c r="I184" s="1"/>
      <c r="J184" s="1"/>
      <c r="K184" s="1"/>
      <c r="L184" s="1"/>
      <c r="M184" s="1"/>
      <c r="N184" s="1"/>
      <c r="O184" s="1"/>
      <c r="P184" s="1"/>
      <c r="Q184" s="1"/>
      <c r="R184" s="1"/>
      <c r="S184" s="1"/>
      <c r="T184" s="1"/>
      <c r="U184" s="1"/>
      <c r="V184" s="1"/>
      <c r="W184" s="1"/>
      <c r="X184" s="1"/>
      <c r="Y184" s="1"/>
      <c r="Z184" s="1"/>
    </row>
    <row r="185" ht="63.0" customHeight="1">
      <c r="A185" s="1"/>
      <c r="B185" s="61" t="s">
        <v>138</v>
      </c>
      <c r="F185" s="10"/>
      <c r="G185" s="1"/>
      <c r="H185" s="1"/>
      <c r="I185" s="1"/>
      <c r="J185" s="1"/>
      <c r="K185" s="1"/>
      <c r="L185" s="1"/>
      <c r="M185" s="1"/>
      <c r="N185" s="1"/>
      <c r="O185" s="1"/>
      <c r="P185" s="1"/>
      <c r="Q185" s="1"/>
      <c r="R185" s="1"/>
      <c r="S185" s="1"/>
      <c r="T185" s="1"/>
      <c r="U185" s="1"/>
      <c r="V185" s="1"/>
      <c r="W185" s="1"/>
      <c r="X185" s="1"/>
      <c r="Y185" s="1"/>
      <c r="Z185" s="1"/>
    </row>
    <row r="186">
      <c r="A186" s="1"/>
      <c r="B186" s="62" t="s">
        <v>139</v>
      </c>
      <c r="C186" s="1"/>
      <c r="D186" s="1"/>
      <c r="E186" s="1"/>
      <c r="F186" s="25">
        <f>C181*638</f>
        <v>0</v>
      </c>
      <c r="G186" s="1"/>
      <c r="H186" s="1"/>
      <c r="I186" s="1"/>
      <c r="J186" s="1"/>
      <c r="K186" s="1"/>
      <c r="L186" s="1"/>
      <c r="M186" s="1"/>
      <c r="N186" s="1"/>
      <c r="O186" s="1"/>
      <c r="P186" s="1"/>
      <c r="Q186" s="1"/>
      <c r="R186" s="1"/>
      <c r="S186" s="1"/>
      <c r="T186" s="1"/>
      <c r="U186" s="1"/>
      <c r="V186" s="1"/>
      <c r="W186" s="1"/>
      <c r="X186" s="1"/>
      <c r="Y186" s="1"/>
      <c r="Z186" s="1"/>
    </row>
    <row r="187">
      <c r="A187" s="1"/>
      <c r="B187" s="18"/>
      <c r="C187" s="1"/>
      <c r="D187" s="1"/>
      <c r="E187" s="1"/>
      <c r="F187" s="19"/>
      <c r="G187" s="1"/>
      <c r="H187" s="1"/>
      <c r="I187" s="1"/>
      <c r="J187" s="1"/>
      <c r="K187" s="1"/>
      <c r="L187" s="1"/>
      <c r="M187" s="1"/>
      <c r="N187" s="1"/>
      <c r="O187" s="1"/>
      <c r="P187" s="1"/>
      <c r="Q187" s="1"/>
      <c r="R187" s="1"/>
      <c r="S187" s="1"/>
      <c r="T187" s="1"/>
      <c r="U187" s="1"/>
      <c r="V187" s="1"/>
      <c r="W187" s="1"/>
      <c r="X187" s="1"/>
      <c r="Y187" s="1"/>
      <c r="Z187" s="1"/>
    </row>
    <row r="188">
      <c r="A188" s="1"/>
      <c r="B188" s="18"/>
      <c r="C188" s="1"/>
      <c r="D188" s="1"/>
      <c r="E188" s="1"/>
      <c r="F188" s="19"/>
      <c r="G188" s="1"/>
      <c r="H188" s="1"/>
      <c r="I188" s="1"/>
      <c r="J188" s="1"/>
      <c r="K188" s="1"/>
      <c r="L188" s="1"/>
      <c r="M188" s="1"/>
      <c r="N188" s="1"/>
      <c r="O188" s="1"/>
      <c r="P188" s="1"/>
      <c r="Q188" s="1"/>
      <c r="R188" s="1"/>
      <c r="S188" s="1"/>
      <c r="T188" s="1"/>
      <c r="U188" s="1"/>
      <c r="V188" s="1"/>
      <c r="W188" s="1"/>
      <c r="X188" s="1"/>
      <c r="Y188" s="1"/>
      <c r="Z188" s="1"/>
    </row>
    <row r="189">
      <c r="A189" s="1"/>
      <c r="B189" s="18"/>
      <c r="C189" s="1"/>
      <c r="D189" s="1"/>
      <c r="E189" s="1"/>
      <c r="F189" s="19"/>
      <c r="G189" s="1"/>
      <c r="H189" s="1"/>
      <c r="I189" s="1"/>
      <c r="J189" s="1"/>
      <c r="K189" s="1"/>
      <c r="L189" s="1"/>
      <c r="M189" s="1"/>
      <c r="N189" s="1"/>
      <c r="O189" s="1"/>
      <c r="P189" s="1"/>
      <c r="Q189" s="1"/>
      <c r="R189" s="1"/>
      <c r="S189" s="1"/>
      <c r="T189" s="1"/>
      <c r="U189" s="1"/>
      <c r="V189" s="1"/>
      <c r="W189" s="1"/>
      <c r="X189" s="1"/>
      <c r="Y189" s="1"/>
      <c r="Z189" s="1"/>
    </row>
    <row r="190">
      <c r="A190" s="1"/>
      <c r="B190" s="18"/>
      <c r="C190" s="1" t="s">
        <v>140</v>
      </c>
      <c r="D190" s="1"/>
      <c r="E190" s="1" t="s">
        <v>14</v>
      </c>
      <c r="F190" s="19"/>
      <c r="G190" s="1"/>
      <c r="H190" s="1"/>
      <c r="I190" s="1"/>
      <c r="J190" s="1"/>
      <c r="K190" s="1"/>
      <c r="L190" s="1"/>
      <c r="M190" s="1"/>
      <c r="N190" s="1"/>
      <c r="O190" s="1"/>
      <c r="P190" s="1"/>
      <c r="Q190" s="1"/>
      <c r="R190" s="1"/>
      <c r="S190" s="1"/>
      <c r="T190" s="1"/>
      <c r="U190" s="1"/>
      <c r="V190" s="1"/>
      <c r="W190" s="1"/>
      <c r="X190" s="1"/>
      <c r="Y190" s="1"/>
      <c r="Z190" s="1"/>
    </row>
    <row r="191">
      <c r="A191" s="1"/>
      <c r="B191" s="18" t="s">
        <v>141</v>
      </c>
      <c r="C191" s="4"/>
      <c r="D191" s="1"/>
      <c r="E191" s="24">
        <f>IFERROR(VLOOKUP($C$2,Lookups!$A:$CR,88,0),0)</f>
        <v>0</v>
      </c>
      <c r="F191" s="63">
        <f t="shared" ref="F191:F196" si="25">C191*E191</f>
        <v>0</v>
      </c>
      <c r="G191" s="1"/>
      <c r="H191" s="1"/>
      <c r="I191" s="1"/>
      <c r="J191" s="1"/>
      <c r="K191" s="1"/>
      <c r="L191" s="1"/>
      <c r="M191" s="1"/>
      <c r="N191" s="1"/>
      <c r="O191" s="1"/>
      <c r="P191" s="1"/>
      <c r="Q191" s="1"/>
      <c r="R191" s="1"/>
      <c r="S191" s="1"/>
      <c r="T191" s="1"/>
      <c r="U191" s="1"/>
      <c r="V191" s="1"/>
      <c r="W191" s="1"/>
      <c r="X191" s="1"/>
      <c r="Y191" s="1"/>
      <c r="Z191" s="1"/>
    </row>
    <row r="192">
      <c r="A192" s="1"/>
      <c r="B192" s="18" t="s">
        <v>142</v>
      </c>
      <c r="C192" s="4"/>
      <c r="D192" s="1"/>
      <c r="E192" s="24">
        <v>4736.0</v>
      </c>
      <c r="F192" s="25">
        <f t="shared" si="25"/>
        <v>0</v>
      </c>
      <c r="G192" s="1"/>
      <c r="H192" s="1"/>
      <c r="I192" s="1"/>
      <c r="J192" s="1"/>
      <c r="K192" s="1"/>
      <c r="L192" s="1"/>
      <c r="M192" s="1"/>
      <c r="N192" s="1"/>
      <c r="O192" s="1"/>
      <c r="P192" s="1"/>
      <c r="Q192" s="1"/>
      <c r="R192" s="1"/>
      <c r="S192" s="1"/>
      <c r="T192" s="1"/>
      <c r="U192" s="1"/>
      <c r="V192" s="1"/>
      <c r="W192" s="1"/>
      <c r="X192" s="1"/>
      <c r="Y192" s="1"/>
      <c r="Z192" s="1"/>
    </row>
    <row r="193">
      <c r="A193" s="1"/>
      <c r="B193" s="18" t="s">
        <v>143</v>
      </c>
      <c r="C193" s="4"/>
      <c r="D193" s="1"/>
      <c r="E193" s="24">
        <v>6077.0</v>
      </c>
      <c r="F193" s="25">
        <f t="shared" si="25"/>
        <v>0</v>
      </c>
      <c r="G193" s="1"/>
      <c r="H193" s="1"/>
      <c r="I193" s="1"/>
      <c r="J193" s="1"/>
      <c r="K193" s="1"/>
      <c r="L193" s="1"/>
      <c r="M193" s="1"/>
      <c r="N193" s="1"/>
      <c r="O193" s="1"/>
      <c r="P193" s="1"/>
      <c r="Q193" s="1"/>
      <c r="R193" s="1"/>
      <c r="S193" s="1"/>
      <c r="T193" s="1"/>
      <c r="U193" s="1"/>
      <c r="V193" s="1"/>
      <c r="W193" s="1"/>
      <c r="X193" s="1"/>
      <c r="Y193" s="1"/>
      <c r="Z193" s="1"/>
    </row>
    <row r="194">
      <c r="A194" s="1"/>
      <c r="B194" s="18" t="s">
        <v>144</v>
      </c>
      <c r="C194" s="4"/>
      <c r="D194" s="1"/>
      <c r="E194" s="24">
        <v>6500.0</v>
      </c>
      <c r="F194" s="25">
        <f t="shared" si="25"/>
        <v>0</v>
      </c>
      <c r="G194" s="1"/>
      <c r="H194" s="1"/>
      <c r="I194" s="1"/>
      <c r="J194" s="1"/>
      <c r="K194" s="1"/>
      <c r="L194" s="1"/>
      <c r="M194" s="1"/>
      <c r="N194" s="1"/>
      <c r="O194" s="1"/>
      <c r="P194" s="1"/>
      <c r="Q194" s="1"/>
      <c r="R194" s="1"/>
      <c r="S194" s="1"/>
      <c r="T194" s="1"/>
      <c r="U194" s="1"/>
      <c r="V194" s="1"/>
      <c r="W194" s="1"/>
      <c r="X194" s="1"/>
      <c r="Y194" s="1"/>
      <c r="Z194" s="1"/>
    </row>
    <row r="195">
      <c r="A195" s="1"/>
      <c r="B195" s="18" t="s">
        <v>145</v>
      </c>
      <c r="C195" s="4"/>
      <c r="D195" s="1"/>
      <c r="E195" s="24">
        <v>11432.0</v>
      </c>
      <c r="F195" s="25">
        <f t="shared" si="25"/>
        <v>0</v>
      </c>
      <c r="G195" s="1"/>
      <c r="H195" s="1"/>
      <c r="I195" s="1"/>
      <c r="J195" s="1"/>
      <c r="K195" s="1"/>
      <c r="L195" s="1"/>
      <c r="M195" s="1"/>
      <c r="N195" s="1"/>
      <c r="O195" s="1"/>
      <c r="P195" s="1"/>
      <c r="Q195" s="1"/>
      <c r="R195" s="1"/>
      <c r="S195" s="1"/>
      <c r="T195" s="1"/>
      <c r="U195" s="1"/>
      <c r="V195" s="1"/>
      <c r="W195" s="1"/>
      <c r="X195" s="1"/>
      <c r="Y195" s="1"/>
      <c r="Z195" s="1"/>
    </row>
    <row r="196">
      <c r="A196" s="1"/>
      <c r="B196" s="18" t="s">
        <v>146</v>
      </c>
      <c r="C196" s="4"/>
      <c r="D196" s="1"/>
      <c r="E196" s="24">
        <v>15818.0</v>
      </c>
      <c r="F196" s="25">
        <f t="shared" si="25"/>
        <v>0</v>
      </c>
      <c r="G196" s="1"/>
      <c r="H196" s="1"/>
      <c r="I196" s="1"/>
      <c r="J196" s="1"/>
      <c r="K196" s="1"/>
      <c r="L196" s="1"/>
      <c r="M196" s="1"/>
      <c r="N196" s="1"/>
      <c r="O196" s="1"/>
      <c r="P196" s="1"/>
      <c r="Q196" s="1"/>
      <c r="R196" s="1"/>
      <c r="S196" s="1"/>
      <c r="T196" s="1"/>
      <c r="U196" s="1"/>
      <c r="V196" s="1"/>
      <c r="W196" s="1"/>
      <c r="X196" s="1"/>
      <c r="Y196" s="1"/>
      <c r="Z196" s="1"/>
    </row>
    <row r="197">
      <c r="A197" s="1"/>
      <c r="B197" s="18"/>
      <c r="C197" s="1"/>
      <c r="D197" s="1"/>
      <c r="E197" s="1"/>
      <c r="F197" s="19"/>
      <c r="G197" s="1"/>
      <c r="H197" s="1"/>
      <c r="I197" s="1"/>
      <c r="J197" s="1"/>
      <c r="K197" s="1"/>
      <c r="L197" s="1"/>
      <c r="M197" s="1"/>
      <c r="N197" s="1"/>
      <c r="O197" s="1"/>
      <c r="P197" s="1"/>
      <c r="Q197" s="1"/>
      <c r="R197" s="1"/>
      <c r="S197" s="1"/>
      <c r="T197" s="1"/>
      <c r="U197" s="1"/>
      <c r="V197" s="1"/>
      <c r="W197" s="1"/>
      <c r="X197" s="1"/>
      <c r="Y197" s="1"/>
      <c r="Z197" s="1"/>
    </row>
    <row r="198">
      <c r="A198" s="1"/>
      <c r="B198" s="58" t="s">
        <v>130</v>
      </c>
      <c r="C198" s="35"/>
      <c r="D198" s="35"/>
      <c r="E198" s="35"/>
      <c r="F198" s="33">
        <f>SUM(F186:F196)+F182</f>
        <v>0</v>
      </c>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4" t="s">
        <v>147</v>
      </c>
      <c r="C200" s="15"/>
      <c r="D200" s="15"/>
      <c r="E200" s="15"/>
      <c r="F200" s="16"/>
      <c r="G200" s="1"/>
      <c r="H200" s="1"/>
      <c r="I200" s="1"/>
      <c r="J200" s="1"/>
      <c r="K200" s="1"/>
      <c r="L200" s="1"/>
      <c r="M200" s="1"/>
      <c r="N200" s="1"/>
      <c r="O200" s="1"/>
      <c r="P200" s="1"/>
      <c r="Q200" s="1"/>
      <c r="R200" s="1"/>
      <c r="S200" s="1"/>
      <c r="T200" s="1"/>
      <c r="U200" s="1"/>
      <c r="V200" s="1"/>
      <c r="W200" s="1"/>
      <c r="X200" s="1"/>
      <c r="Y200" s="1"/>
      <c r="Z200" s="1"/>
    </row>
    <row r="201">
      <c r="A201" s="1"/>
      <c r="B201" s="18"/>
      <c r="C201" s="1"/>
      <c r="D201" s="1"/>
      <c r="E201" s="1"/>
      <c r="F201" s="19"/>
      <c r="G201" s="1"/>
      <c r="H201" s="1"/>
      <c r="I201" s="1"/>
      <c r="J201" s="1"/>
      <c r="K201" s="1"/>
      <c r="L201" s="1"/>
      <c r="M201" s="1"/>
      <c r="N201" s="1"/>
      <c r="O201" s="1"/>
      <c r="P201" s="1"/>
      <c r="Q201" s="1"/>
      <c r="R201" s="1"/>
      <c r="S201" s="1"/>
      <c r="T201" s="1"/>
      <c r="U201" s="1"/>
      <c r="V201" s="1"/>
      <c r="W201" s="1"/>
      <c r="X201" s="1"/>
      <c r="Y201" s="1"/>
      <c r="Z201" s="1"/>
    </row>
    <row r="202">
      <c r="A202" s="1"/>
      <c r="B202" s="20" t="s">
        <v>148</v>
      </c>
      <c r="C202" s="1"/>
      <c r="D202" s="1"/>
      <c r="E202" s="1"/>
      <c r="F202" s="19"/>
      <c r="G202" s="1"/>
      <c r="H202" s="1"/>
      <c r="I202" s="1"/>
      <c r="J202" s="1"/>
      <c r="K202" s="1"/>
      <c r="L202" s="1"/>
      <c r="M202" s="1"/>
      <c r="N202" s="1"/>
      <c r="O202" s="1"/>
      <c r="P202" s="1"/>
      <c r="Q202" s="1"/>
      <c r="R202" s="1"/>
      <c r="S202" s="1"/>
      <c r="T202" s="1"/>
      <c r="U202" s="1"/>
      <c r="V202" s="1"/>
      <c r="W202" s="1"/>
      <c r="X202" s="1"/>
      <c r="Y202" s="1"/>
      <c r="Z202" s="1"/>
    </row>
    <row r="203">
      <c r="A203" s="1"/>
      <c r="B203" s="18"/>
      <c r="C203" s="1"/>
      <c r="D203" s="1"/>
      <c r="E203" s="1"/>
      <c r="F203" s="19"/>
      <c r="G203" s="1"/>
      <c r="H203" s="1"/>
      <c r="I203" s="1"/>
      <c r="J203" s="1"/>
      <c r="K203" s="1"/>
      <c r="L203" s="1"/>
      <c r="M203" s="1"/>
      <c r="N203" s="1"/>
      <c r="O203" s="1"/>
      <c r="P203" s="1"/>
      <c r="Q203" s="1"/>
      <c r="R203" s="1"/>
      <c r="S203" s="1"/>
      <c r="T203" s="1"/>
      <c r="U203" s="1"/>
      <c r="V203" s="1"/>
      <c r="W203" s="1"/>
      <c r="X203" s="1"/>
      <c r="Y203" s="1"/>
      <c r="Z203" s="1"/>
    </row>
    <row r="204">
      <c r="A204" s="1"/>
      <c r="B204" s="18" t="s">
        <v>149</v>
      </c>
      <c r="C204" s="1"/>
      <c r="D204" s="1"/>
      <c r="E204" s="1"/>
      <c r="F204" s="19"/>
      <c r="G204" s="1"/>
      <c r="H204" s="1"/>
      <c r="I204" s="1"/>
      <c r="J204" s="1"/>
      <c r="K204" s="1"/>
      <c r="L204" s="1"/>
      <c r="M204" s="1"/>
      <c r="N204" s="1"/>
      <c r="O204" s="1"/>
      <c r="P204" s="1"/>
      <c r="Q204" s="1"/>
      <c r="R204" s="1"/>
      <c r="S204" s="1"/>
      <c r="T204" s="1"/>
      <c r="U204" s="1"/>
      <c r="V204" s="1"/>
      <c r="W204" s="1"/>
      <c r="X204" s="1"/>
      <c r="Y204" s="1"/>
      <c r="Z204" s="1"/>
    </row>
    <row r="205">
      <c r="A205" s="1"/>
      <c r="B205" s="21" t="s">
        <v>150</v>
      </c>
      <c r="C205" s="1"/>
      <c r="D205" s="1"/>
      <c r="E205" s="1"/>
      <c r="F205" s="19"/>
      <c r="G205" s="1"/>
      <c r="H205" s="1"/>
      <c r="I205" s="1"/>
      <c r="J205" s="1"/>
      <c r="K205" s="1"/>
      <c r="L205" s="1"/>
      <c r="M205" s="1"/>
      <c r="N205" s="1"/>
      <c r="O205" s="1"/>
      <c r="P205" s="1"/>
      <c r="Q205" s="1"/>
      <c r="R205" s="1"/>
      <c r="S205" s="1"/>
      <c r="T205" s="1"/>
      <c r="U205" s="1"/>
      <c r="V205" s="1"/>
      <c r="W205" s="1"/>
      <c r="X205" s="1"/>
      <c r="Y205" s="1"/>
      <c r="Z205" s="1"/>
    </row>
    <row r="206">
      <c r="A206" s="1"/>
      <c r="B206" s="64" t="s">
        <v>151</v>
      </c>
      <c r="C206" s="35"/>
      <c r="D206" s="35"/>
      <c r="E206" s="35"/>
      <c r="F206" s="37"/>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4" t="s">
        <v>152</v>
      </c>
      <c r="C208" s="15"/>
      <c r="D208" s="15"/>
      <c r="E208" s="15"/>
      <c r="F208" s="16"/>
      <c r="G208" s="1"/>
      <c r="H208" s="1"/>
      <c r="I208" s="1"/>
      <c r="J208" s="1"/>
      <c r="K208" s="1"/>
      <c r="L208" s="1"/>
      <c r="M208" s="1"/>
      <c r="N208" s="1"/>
      <c r="O208" s="1"/>
      <c r="P208" s="1"/>
      <c r="Q208" s="1"/>
      <c r="R208" s="1"/>
      <c r="S208" s="1"/>
      <c r="T208" s="1"/>
      <c r="U208" s="1"/>
      <c r="V208" s="1"/>
      <c r="W208" s="1"/>
      <c r="X208" s="1"/>
      <c r="Y208" s="1"/>
      <c r="Z208" s="1"/>
    </row>
    <row r="209">
      <c r="A209" s="1"/>
      <c r="B209" s="18"/>
      <c r="C209" s="1"/>
      <c r="D209" s="1"/>
      <c r="E209" s="1"/>
      <c r="F209" s="19"/>
      <c r="G209" s="1"/>
      <c r="H209" s="1"/>
      <c r="I209" s="1"/>
      <c r="J209" s="1"/>
      <c r="K209" s="1"/>
      <c r="L209" s="1"/>
      <c r="M209" s="1"/>
      <c r="N209" s="1"/>
      <c r="O209" s="1"/>
      <c r="P209" s="1"/>
      <c r="Q209" s="1"/>
      <c r="R209" s="1"/>
      <c r="S209" s="1"/>
      <c r="T209" s="1"/>
      <c r="U209" s="1"/>
      <c r="V209" s="1"/>
      <c r="W209" s="1"/>
      <c r="X209" s="1"/>
      <c r="Y209" s="1"/>
      <c r="Z209" s="1"/>
    </row>
    <row r="210">
      <c r="A210" s="1"/>
      <c r="B210" s="65" t="s">
        <v>153</v>
      </c>
      <c r="C210" s="1"/>
      <c r="D210" s="1"/>
      <c r="F210" s="19"/>
      <c r="G210" s="1"/>
      <c r="I210" s="1"/>
      <c r="J210" s="1"/>
      <c r="K210" s="1"/>
      <c r="L210" s="1"/>
      <c r="M210" s="1"/>
      <c r="N210" s="1"/>
      <c r="O210" s="1"/>
      <c r="P210" s="1"/>
      <c r="Q210" s="1"/>
      <c r="R210" s="1"/>
      <c r="S210" s="1"/>
      <c r="T210" s="1"/>
      <c r="U210" s="1"/>
      <c r="V210" s="1"/>
      <c r="W210" s="1"/>
      <c r="X210" s="1"/>
      <c r="Y210" s="1"/>
      <c r="Z210" s="1"/>
    </row>
    <row r="211">
      <c r="A211" s="1"/>
      <c r="B211" s="18"/>
      <c r="C211" s="1"/>
      <c r="D211" s="1"/>
      <c r="E211" s="66" t="s">
        <v>154</v>
      </c>
      <c r="F211" s="19"/>
      <c r="G211" s="1"/>
      <c r="H211" s="1"/>
      <c r="J211" s="1"/>
      <c r="K211" s="1"/>
      <c r="L211" s="1"/>
      <c r="M211" s="1"/>
      <c r="N211" s="1"/>
      <c r="O211" s="1"/>
      <c r="P211" s="1"/>
      <c r="Q211" s="1"/>
      <c r="R211" s="1"/>
      <c r="S211" s="1"/>
      <c r="T211" s="1"/>
      <c r="U211" s="1"/>
      <c r="V211" s="1"/>
      <c r="W211" s="1"/>
      <c r="X211" s="1"/>
      <c r="Y211" s="1"/>
      <c r="Z211" s="1"/>
    </row>
    <row r="212">
      <c r="A212" s="1"/>
      <c r="B212" s="18" t="s">
        <v>155</v>
      </c>
      <c r="C212" s="1"/>
      <c r="D212" s="4"/>
      <c r="E212" s="49">
        <v>1550.0</v>
      </c>
      <c r="F212" s="51">
        <f t="shared" ref="F212:F214" si="26">D212*E212</f>
        <v>0</v>
      </c>
      <c r="G212" s="1"/>
      <c r="H212" s="1"/>
      <c r="I212" s="1"/>
      <c r="J212" s="1"/>
      <c r="K212" s="1"/>
      <c r="L212" s="1"/>
      <c r="M212" s="1"/>
      <c r="N212" s="1"/>
      <c r="O212" s="1"/>
      <c r="P212" s="1"/>
      <c r="Q212" s="1"/>
      <c r="R212" s="1"/>
      <c r="S212" s="1"/>
      <c r="T212" s="1"/>
      <c r="U212" s="1"/>
      <c r="V212" s="1"/>
      <c r="W212" s="1"/>
      <c r="X212" s="1"/>
      <c r="Y212" s="1"/>
      <c r="Z212" s="1"/>
    </row>
    <row r="213">
      <c r="A213" s="1"/>
      <c r="B213" s="18" t="s">
        <v>156</v>
      </c>
      <c r="C213" s="1"/>
      <c r="D213" s="4"/>
      <c r="E213" s="49">
        <v>1100.0</v>
      </c>
      <c r="F213" s="51">
        <f t="shared" si="26"/>
        <v>0</v>
      </c>
      <c r="G213" s="1"/>
      <c r="H213" s="1"/>
      <c r="I213" s="1"/>
      <c r="J213" s="1"/>
      <c r="K213" s="1"/>
      <c r="L213" s="1"/>
      <c r="M213" s="1"/>
      <c r="N213" s="1"/>
      <c r="O213" s="1"/>
      <c r="P213" s="1"/>
      <c r="Q213" s="1"/>
      <c r="R213" s="1"/>
      <c r="S213" s="1"/>
      <c r="T213" s="1"/>
      <c r="U213" s="1"/>
      <c r="V213" s="1"/>
      <c r="W213" s="1"/>
      <c r="X213" s="1"/>
      <c r="Y213" s="1"/>
      <c r="Z213" s="1"/>
    </row>
    <row r="214">
      <c r="A214" s="1"/>
      <c r="B214" s="18" t="s">
        <v>157</v>
      </c>
      <c r="C214" s="1"/>
      <c r="D214" s="4"/>
      <c r="E214" s="49">
        <v>2690.0</v>
      </c>
      <c r="F214" s="51">
        <f t="shared" si="26"/>
        <v>0</v>
      </c>
      <c r="G214" s="1"/>
      <c r="H214" s="1"/>
      <c r="I214" s="1"/>
      <c r="J214" s="1"/>
      <c r="K214" s="1"/>
      <c r="L214" s="1"/>
      <c r="M214" s="1"/>
      <c r="N214" s="1"/>
      <c r="O214" s="1"/>
      <c r="P214" s="1"/>
      <c r="Q214" s="1"/>
      <c r="R214" s="1"/>
      <c r="S214" s="1"/>
      <c r="T214" s="1"/>
      <c r="U214" s="1"/>
      <c r="V214" s="1"/>
      <c r="W214" s="1"/>
      <c r="X214" s="1"/>
      <c r="Y214" s="1"/>
      <c r="Z214" s="1"/>
    </row>
    <row r="215">
      <c r="A215" s="1"/>
      <c r="B215" s="18"/>
      <c r="C215" s="1"/>
      <c r="D215" s="1"/>
      <c r="E215" s="27"/>
      <c r="F215" s="51"/>
      <c r="G215" s="1"/>
      <c r="H215" s="1"/>
      <c r="I215" s="1"/>
      <c r="J215" s="1"/>
      <c r="K215" s="1"/>
      <c r="L215" s="1"/>
      <c r="M215" s="1"/>
      <c r="N215" s="1"/>
      <c r="O215" s="1"/>
      <c r="P215" s="1"/>
      <c r="Q215" s="1"/>
      <c r="R215" s="1"/>
      <c r="S215" s="1"/>
      <c r="T215" s="1"/>
      <c r="U215" s="1"/>
      <c r="V215" s="1"/>
      <c r="W215" s="1"/>
      <c r="X215" s="1"/>
      <c r="Y215" s="1"/>
      <c r="Z215" s="1"/>
    </row>
    <row r="216">
      <c r="A216" s="1"/>
      <c r="B216" s="32"/>
      <c r="C216" s="67" t="s">
        <v>158</v>
      </c>
      <c r="D216" s="35"/>
      <c r="E216" s="68"/>
      <c r="F216" s="33">
        <f>SUM(F212:F214)</f>
        <v>0</v>
      </c>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27"/>
      <c r="F217" s="27"/>
      <c r="G217" s="1"/>
      <c r="H217" s="1"/>
      <c r="I217" s="1"/>
      <c r="J217" s="1"/>
      <c r="K217" s="1"/>
      <c r="L217" s="1"/>
      <c r="M217" s="1"/>
      <c r="N217" s="1"/>
      <c r="O217" s="1"/>
      <c r="P217" s="1"/>
      <c r="Q217" s="1"/>
      <c r="R217" s="1"/>
      <c r="S217" s="1"/>
      <c r="T217" s="1"/>
      <c r="U217" s="1"/>
      <c r="V217" s="1"/>
      <c r="W217" s="1"/>
      <c r="X217" s="1"/>
      <c r="Y217" s="1"/>
      <c r="Z217" s="1"/>
    </row>
    <row r="218">
      <c r="A218" s="1"/>
      <c r="B218" s="14" t="s">
        <v>159</v>
      </c>
      <c r="C218" s="15"/>
      <c r="D218" s="15"/>
      <c r="E218" s="15"/>
      <c r="F218" s="16"/>
      <c r="G218" s="1"/>
      <c r="H218" s="1"/>
      <c r="I218" s="1"/>
      <c r="J218" s="1"/>
      <c r="K218" s="1"/>
      <c r="L218" s="1"/>
      <c r="M218" s="1"/>
      <c r="N218" s="1"/>
      <c r="O218" s="1"/>
      <c r="P218" s="1"/>
      <c r="Q218" s="1"/>
      <c r="R218" s="1"/>
      <c r="S218" s="1"/>
      <c r="T218" s="1"/>
      <c r="U218" s="1"/>
      <c r="V218" s="1"/>
      <c r="W218" s="1"/>
      <c r="X218" s="1"/>
      <c r="Y218" s="1"/>
      <c r="Z218" s="1"/>
    </row>
    <row r="219">
      <c r="A219" s="1"/>
      <c r="B219" s="18"/>
      <c r="C219" s="1"/>
      <c r="D219" s="1"/>
      <c r="E219" s="1"/>
      <c r="F219" s="19"/>
      <c r="G219" s="1"/>
      <c r="H219" s="1"/>
      <c r="I219" s="1"/>
      <c r="J219" s="1"/>
      <c r="K219" s="1"/>
      <c r="L219" s="1"/>
      <c r="M219" s="1"/>
      <c r="N219" s="1"/>
      <c r="O219" s="1"/>
      <c r="P219" s="1"/>
      <c r="Q219" s="1"/>
      <c r="R219" s="1"/>
      <c r="S219" s="1"/>
      <c r="T219" s="1"/>
      <c r="U219" s="1"/>
      <c r="V219" s="1"/>
      <c r="W219" s="1"/>
      <c r="X219" s="1"/>
      <c r="Y219" s="1"/>
      <c r="Z219" s="1"/>
    </row>
    <row r="220">
      <c r="A220" s="1"/>
      <c r="B220" s="69" t="s">
        <v>153</v>
      </c>
      <c r="C220" s="1"/>
      <c r="D220" s="1"/>
      <c r="E220" s="1"/>
      <c r="F220" s="19"/>
      <c r="G220" s="1"/>
      <c r="H220" s="1"/>
      <c r="I220" s="1"/>
      <c r="J220" s="1"/>
      <c r="K220" s="1"/>
      <c r="L220" s="1"/>
      <c r="M220" s="1"/>
      <c r="N220" s="1"/>
      <c r="O220" s="1"/>
      <c r="P220" s="1"/>
      <c r="Q220" s="1"/>
      <c r="R220" s="1"/>
      <c r="S220" s="1"/>
      <c r="T220" s="1"/>
      <c r="U220" s="1"/>
      <c r="V220" s="1"/>
      <c r="W220" s="1"/>
      <c r="X220" s="1"/>
      <c r="Y220" s="1"/>
      <c r="Z220" s="1"/>
    </row>
    <row r="221">
      <c r="A221" s="1"/>
      <c r="B221" s="18"/>
      <c r="C221" s="1"/>
      <c r="D221" s="1"/>
      <c r="E221" s="1"/>
      <c r="F221" s="19"/>
      <c r="G221" s="1"/>
      <c r="H221" s="1"/>
      <c r="I221" s="1"/>
      <c r="J221" s="1"/>
      <c r="K221" s="1"/>
      <c r="L221" s="1"/>
      <c r="M221" s="1"/>
      <c r="N221" s="1"/>
      <c r="O221" s="1"/>
      <c r="P221" s="1"/>
      <c r="Q221" s="1"/>
      <c r="R221" s="1"/>
      <c r="S221" s="1"/>
      <c r="T221" s="1"/>
      <c r="U221" s="1"/>
      <c r="V221" s="1"/>
      <c r="W221" s="1"/>
      <c r="X221" s="1"/>
      <c r="Y221" s="1"/>
      <c r="Z221" s="1"/>
    </row>
    <row r="222">
      <c r="A222" s="1"/>
      <c r="B222" s="18" t="s">
        <v>160</v>
      </c>
      <c r="C222" s="1"/>
      <c r="D222" s="1"/>
      <c r="E222" s="1"/>
      <c r="F222" s="19"/>
      <c r="G222" s="1"/>
      <c r="H222" s="1"/>
      <c r="I222" s="1"/>
      <c r="J222" s="1"/>
      <c r="K222" s="1"/>
      <c r="L222" s="1"/>
      <c r="M222" s="1"/>
      <c r="N222" s="1"/>
      <c r="O222" s="1"/>
      <c r="P222" s="1"/>
      <c r="Q222" s="1"/>
      <c r="R222" s="1"/>
      <c r="S222" s="1"/>
      <c r="T222" s="1"/>
      <c r="U222" s="1"/>
      <c r="V222" s="1"/>
      <c r="W222" s="1"/>
      <c r="X222" s="1"/>
      <c r="Y222" s="1"/>
      <c r="Z222" s="1"/>
    </row>
    <row r="223">
      <c r="A223" s="1"/>
      <c r="B223" s="21" t="s">
        <v>161</v>
      </c>
      <c r="C223" s="1"/>
      <c r="D223" s="1"/>
      <c r="E223" s="1"/>
      <c r="F223" s="19"/>
      <c r="G223" s="1"/>
      <c r="H223" s="1"/>
      <c r="I223" s="1"/>
      <c r="J223" s="1"/>
      <c r="K223" s="1"/>
      <c r="L223" s="1"/>
      <c r="M223" s="1"/>
      <c r="N223" s="1"/>
      <c r="O223" s="1"/>
      <c r="P223" s="1"/>
      <c r="Q223" s="1"/>
      <c r="R223" s="1"/>
      <c r="S223" s="1"/>
      <c r="T223" s="1"/>
      <c r="U223" s="1"/>
      <c r="V223" s="1"/>
      <c r="W223" s="1"/>
      <c r="X223" s="1"/>
      <c r="Y223" s="1"/>
      <c r="Z223" s="1"/>
    </row>
    <row r="224">
      <c r="A224" s="1"/>
      <c r="B224" s="18"/>
      <c r="C224" s="1"/>
      <c r="D224" s="1"/>
      <c r="E224" s="1"/>
      <c r="F224" s="19"/>
      <c r="G224" s="1"/>
      <c r="H224" s="1"/>
      <c r="I224" s="1"/>
      <c r="J224" s="1"/>
      <c r="K224" s="1"/>
      <c r="L224" s="1"/>
      <c r="M224" s="1"/>
      <c r="N224" s="1"/>
      <c r="O224" s="1"/>
      <c r="P224" s="1"/>
      <c r="Q224" s="1"/>
      <c r="R224" s="1"/>
      <c r="S224" s="1"/>
      <c r="T224" s="1"/>
      <c r="U224" s="1"/>
      <c r="V224" s="1"/>
      <c r="W224" s="1"/>
      <c r="X224" s="1"/>
      <c r="Y224" s="1"/>
      <c r="Z224" s="1"/>
    </row>
    <row r="225">
      <c r="A225" s="1"/>
      <c r="B225" s="18" t="s">
        <v>162</v>
      </c>
      <c r="C225" s="70">
        <v>45931.0</v>
      </c>
      <c r="D225" s="59"/>
      <c r="E225" s="1"/>
      <c r="F225" s="19"/>
      <c r="G225" s="1"/>
      <c r="H225" s="1"/>
      <c r="I225" s="1"/>
      <c r="J225" s="1"/>
      <c r="K225" s="1"/>
      <c r="L225" s="1"/>
      <c r="M225" s="1"/>
      <c r="N225" s="1"/>
      <c r="O225" s="1"/>
      <c r="P225" s="1"/>
      <c r="Q225" s="1"/>
      <c r="R225" s="1"/>
      <c r="S225" s="1"/>
      <c r="T225" s="1"/>
      <c r="U225" s="1"/>
      <c r="V225" s="1"/>
      <c r="W225" s="1"/>
      <c r="X225" s="1"/>
      <c r="Y225" s="1"/>
      <c r="Z225" s="1"/>
    </row>
    <row r="226">
      <c r="A226" s="1"/>
      <c r="B226" s="18"/>
      <c r="C226" s="70">
        <v>46023.0</v>
      </c>
      <c r="D226" s="59"/>
      <c r="E226" s="1"/>
      <c r="F226" s="19"/>
      <c r="G226" s="1"/>
      <c r="H226" s="1"/>
      <c r="I226" s="1"/>
      <c r="J226" s="1"/>
      <c r="K226" s="1"/>
      <c r="L226" s="1"/>
      <c r="M226" s="1"/>
      <c r="N226" s="1"/>
      <c r="O226" s="1"/>
      <c r="P226" s="1"/>
      <c r="Q226" s="1"/>
      <c r="R226" s="1"/>
      <c r="S226" s="1"/>
      <c r="T226" s="1"/>
      <c r="U226" s="1"/>
      <c r="V226" s="1"/>
      <c r="W226" s="1"/>
      <c r="X226" s="1"/>
      <c r="Y226" s="1"/>
      <c r="Z226" s="1"/>
    </row>
    <row r="227">
      <c r="A227" s="1"/>
      <c r="B227" s="18"/>
      <c r="C227" s="70">
        <v>46296.0</v>
      </c>
      <c r="D227" s="59"/>
      <c r="E227" s="1"/>
      <c r="F227" s="19"/>
      <c r="G227" s="1"/>
      <c r="H227" s="1"/>
      <c r="I227" s="1"/>
      <c r="J227" s="1"/>
      <c r="K227" s="1"/>
      <c r="L227" s="1"/>
      <c r="M227" s="1"/>
      <c r="N227" s="1"/>
      <c r="O227" s="1"/>
      <c r="P227" s="1"/>
      <c r="Q227" s="1"/>
      <c r="R227" s="1"/>
      <c r="S227" s="1"/>
      <c r="T227" s="1"/>
      <c r="U227" s="1"/>
      <c r="V227" s="1"/>
      <c r="W227" s="1"/>
      <c r="X227" s="1"/>
      <c r="Y227" s="1"/>
      <c r="Z227" s="1"/>
    </row>
    <row r="228">
      <c r="A228" s="1"/>
      <c r="B228" s="18"/>
      <c r="C228" s="70">
        <v>46388.0</v>
      </c>
      <c r="D228" s="59"/>
      <c r="E228" s="1"/>
      <c r="F228" s="19"/>
      <c r="G228" s="1"/>
      <c r="H228" s="1"/>
      <c r="I228" s="1"/>
      <c r="J228" s="1"/>
      <c r="K228" s="1"/>
      <c r="L228" s="1"/>
      <c r="M228" s="1"/>
      <c r="N228" s="1"/>
      <c r="O228" s="1"/>
      <c r="P228" s="1"/>
      <c r="Q228" s="1"/>
      <c r="R228" s="1"/>
      <c r="S228" s="1"/>
      <c r="T228" s="1"/>
      <c r="U228" s="1"/>
      <c r="V228" s="1"/>
      <c r="W228" s="1"/>
      <c r="X228" s="1"/>
      <c r="Y228" s="1"/>
      <c r="Z228" s="1"/>
    </row>
    <row r="229">
      <c r="A229" s="1"/>
      <c r="B229" s="18"/>
      <c r="C229" s="1"/>
      <c r="D229" s="1"/>
      <c r="E229" s="1"/>
      <c r="F229" s="19"/>
      <c r="G229" s="1"/>
      <c r="H229" s="1"/>
      <c r="I229" s="1"/>
      <c r="J229" s="1"/>
      <c r="K229" s="1"/>
      <c r="L229" s="1"/>
      <c r="M229" s="1"/>
      <c r="N229" s="1"/>
      <c r="O229" s="1"/>
      <c r="P229" s="1"/>
      <c r="Q229" s="1"/>
      <c r="R229" s="1"/>
      <c r="S229" s="1"/>
      <c r="T229" s="1"/>
      <c r="U229" s="1"/>
      <c r="V229" s="1"/>
      <c r="W229" s="1"/>
      <c r="X229" s="1"/>
      <c r="Y229" s="1"/>
      <c r="Z229" s="1"/>
    </row>
    <row r="230">
      <c r="A230" s="1"/>
      <c r="B230" s="18" t="s">
        <v>163</v>
      </c>
      <c r="C230" s="70">
        <v>45931.0</v>
      </c>
      <c r="D230" s="59"/>
      <c r="E230" s="1"/>
      <c r="F230" s="19"/>
      <c r="G230" s="1"/>
      <c r="H230" s="1"/>
      <c r="I230" s="1"/>
      <c r="J230" s="1"/>
      <c r="K230" s="1"/>
      <c r="L230" s="1"/>
      <c r="M230" s="1"/>
      <c r="N230" s="1"/>
      <c r="O230" s="1"/>
      <c r="P230" s="1"/>
      <c r="Q230" s="1"/>
      <c r="R230" s="1"/>
      <c r="S230" s="1"/>
      <c r="T230" s="1"/>
      <c r="U230" s="1"/>
      <c r="V230" s="1"/>
      <c r="W230" s="1"/>
      <c r="X230" s="1"/>
      <c r="Y230" s="1"/>
      <c r="Z230" s="1"/>
    </row>
    <row r="231">
      <c r="A231" s="1"/>
      <c r="B231" s="18"/>
      <c r="C231" s="70">
        <v>46023.0</v>
      </c>
      <c r="D231" s="59"/>
      <c r="E231" s="1"/>
      <c r="F231" s="19"/>
      <c r="G231" s="1"/>
      <c r="H231" s="1"/>
      <c r="I231" s="1"/>
      <c r="J231" s="1"/>
      <c r="K231" s="1"/>
      <c r="L231" s="1"/>
      <c r="M231" s="1"/>
      <c r="N231" s="1"/>
      <c r="O231" s="1"/>
      <c r="P231" s="1"/>
      <c r="Q231" s="1"/>
      <c r="R231" s="1"/>
      <c r="S231" s="1"/>
      <c r="T231" s="1"/>
      <c r="U231" s="1"/>
      <c r="V231" s="1"/>
      <c r="W231" s="1"/>
      <c r="X231" s="1"/>
      <c r="Y231" s="1"/>
      <c r="Z231" s="1"/>
    </row>
    <row r="232">
      <c r="A232" s="1"/>
      <c r="B232" s="18"/>
      <c r="C232" s="70">
        <v>46296.0</v>
      </c>
      <c r="D232" s="59"/>
      <c r="E232" s="1"/>
      <c r="F232" s="19"/>
      <c r="G232" s="1"/>
      <c r="H232" s="1"/>
      <c r="I232" s="1"/>
      <c r="J232" s="1"/>
      <c r="K232" s="1"/>
      <c r="L232" s="1"/>
      <c r="M232" s="1"/>
      <c r="N232" s="1"/>
      <c r="O232" s="1"/>
      <c r="P232" s="1"/>
      <c r="Q232" s="1"/>
      <c r="R232" s="1"/>
      <c r="S232" s="1"/>
      <c r="T232" s="1"/>
      <c r="U232" s="1"/>
      <c r="V232" s="1"/>
      <c r="W232" s="1"/>
      <c r="X232" s="1"/>
      <c r="Y232" s="1"/>
      <c r="Z232" s="1"/>
    </row>
    <row r="233">
      <c r="A233" s="1"/>
      <c r="B233" s="18"/>
      <c r="C233" s="70">
        <v>46388.0</v>
      </c>
      <c r="D233" s="59"/>
      <c r="E233" s="1"/>
      <c r="F233" s="19"/>
      <c r="G233" s="1"/>
      <c r="H233" s="1"/>
      <c r="I233" s="1"/>
      <c r="J233" s="1"/>
      <c r="K233" s="1"/>
      <c r="L233" s="1"/>
      <c r="M233" s="1"/>
      <c r="N233" s="1"/>
      <c r="O233" s="1"/>
      <c r="P233" s="1"/>
      <c r="Q233" s="1"/>
      <c r="R233" s="1"/>
      <c r="S233" s="1"/>
      <c r="T233" s="1"/>
      <c r="U233" s="1"/>
      <c r="V233" s="1"/>
      <c r="W233" s="1"/>
      <c r="X233" s="1"/>
      <c r="Y233" s="1"/>
      <c r="Z233" s="1"/>
    </row>
    <row r="234">
      <c r="A234" s="1"/>
      <c r="B234" s="18"/>
      <c r="C234" s="1"/>
      <c r="D234" s="1"/>
      <c r="E234" s="1"/>
      <c r="F234" s="19"/>
      <c r="G234" s="1"/>
      <c r="H234" s="1"/>
      <c r="I234" s="1"/>
      <c r="J234" s="1"/>
      <c r="K234" s="1"/>
      <c r="L234" s="1"/>
      <c r="M234" s="1"/>
      <c r="N234" s="1"/>
      <c r="O234" s="1"/>
      <c r="P234" s="1"/>
      <c r="Q234" s="1"/>
      <c r="R234" s="1"/>
      <c r="S234" s="1"/>
      <c r="T234" s="1"/>
      <c r="U234" s="1"/>
      <c r="V234" s="1"/>
      <c r="W234" s="1"/>
      <c r="X234" s="1"/>
      <c r="Y234" s="1"/>
      <c r="Z234" s="1"/>
    </row>
    <row r="235">
      <c r="A235" s="1"/>
      <c r="B235" s="21" t="s">
        <v>164</v>
      </c>
      <c r="C235" s="1" t="s">
        <v>165</v>
      </c>
      <c r="D235" s="1">
        <f>MAX(D226,((D225+D226)/2))</f>
        <v>0</v>
      </c>
      <c r="E235" s="1"/>
      <c r="F235" s="19"/>
      <c r="G235" s="1"/>
      <c r="H235" s="1"/>
      <c r="I235" s="1"/>
      <c r="J235" s="1"/>
      <c r="K235" s="1"/>
      <c r="L235" s="1"/>
      <c r="M235" s="1"/>
      <c r="N235" s="1"/>
      <c r="O235" s="1"/>
      <c r="P235" s="1"/>
      <c r="Q235" s="1"/>
      <c r="R235" s="1"/>
      <c r="S235" s="1"/>
      <c r="T235" s="1"/>
      <c r="U235" s="1"/>
      <c r="V235" s="1"/>
      <c r="W235" s="1"/>
      <c r="X235" s="1"/>
      <c r="Y235" s="1"/>
      <c r="Z235" s="1"/>
    </row>
    <row r="236">
      <c r="A236" s="1"/>
      <c r="B236" s="18"/>
      <c r="C236" s="1" t="s">
        <v>166</v>
      </c>
      <c r="D236" s="1">
        <f>(D230+D231)/2</f>
        <v>0</v>
      </c>
      <c r="E236" s="1"/>
      <c r="F236" s="19"/>
      <c r="G236" s="1"/>
      <c r="H236" s="1"/>
      <c r="I236" s="1"/>
      <c r="J236" s="1"/>
      <c r="K236" s="1"/>
      <c r="L236" s="1"/>
      <c r="M236" s="1"/>
      <c r="N236" s="1"/>
      <c r="O236" s="1"/>
      <c r="P236" s="1"/>
      <c r="Q236" s="1"/>
      <c r="R236" s="1"/>
      <c r="S236" s="1"/>
      <c r="T236" s="1"/>
      <c r="U236" s="1"/>
      <c r="V236" s="1"/>
      <c r="W236" s="1"/>
      <c r="X236" s="1"/>
      <c r="Y236" s="1"/>
      <c r="Z236" s="1"/>
    </row>
    <row r="237">
      <c r="A237" s="1"/>
      <c r="B237" s="18"/>
      <c r="C237" s="1"/>
      <c r="D237" s="1"/>
      <c r="E237" s="1"/>
      <c r="F237" s="19"/>
      <c r="G237" s="1"/>
      <c r="H237" s="1"/>
      <c r="I237" s="1"/>
      <c r="J237" s="1"/>
      <c r="K237" s="1"/>
      <c r="L237" s="1"/>
      <c r="M237" s="1"/>
      <c r="N237" s="1"/>
      <c r="O237" s="1"/>
      <c r="P237" s="1"/>
      <c r="Q237" s="1"/>
      <c r="R237" s="1"/>
      <c r="S237" s="1"/>
      <c r="T237" s="1"/>
      <c r="U237" s="1"/>
      <c r="V237" s="1"/>
      <c r="W237" s="1"/>
      <c r="X237" s="1"/>
      <c r="Y237" s="1"/>
      <c r="Z237" s="1"/>
    </row>
    <row r="238">
      <c r="A238" s="1"/>
      <c r="B238" s="21" t="s">
        <v>167</v>
      </c>
      <c r="C238" s="1" t="s">
        <v>165</v>
      </c>
      <c r="D238" s="71">
        <f>MAX(D228,((D227+D228)/2))</f>
        <v>0</v>
      </c>
      <c r="E238" s="1"/>
      <c r="F238" s="19"/>
      <c r="G238" s="1"/>
      <c r="H238" s="1"/>
      <c r="I238" s="1"/>
      <c r="J238" s="1"/>
      <c r="K238" s="1"/>
      <c r="L238" s="1"/>
      <c r="M238" s="1"/>
      <c r="N238" s="1"/>
      <c r="O238" s="1"/>
      <c r="P238" s="1"/>
      <c r="Q238" s="1"/>
      <c r="R238" s="1"/>
      <c r="S238" s="1"/>
      <c r="T238" s="1"/>
      <c r="U238" s="1"/>
      <c r="V238" s="1"/>
      <c r="W238" s="1"/>
      <c r="X238" s="1"/>
      <c r="Y238" s="1"/>
      <c r="Z238" s="1"/>
    </row>
    <row r="239">
      <c r="A239" s="1"/>
      <c r="B239" s="18"/>
      <c r="C239" s="1" t="s">
        <v>166</v>
      </c>
      <c r="D239" s="71">
        <f>(D232+D233)/2</f>
        <v>0</v>
      </c>
      <c r="E239" s="1"/>
      <c r="F239" s="19"/>
      <c r="G239" s="1"/>
      <c r="H239" s="1"/>
      <c r="I239" s="1"/>
      <c r="J239" s="1"/>
      <c r="K239" s="1"/>
      <c r="L239" s="1"/>
      <c r="M239" s="1"/>
      <c r="N239" s="1"/>
      <c r="O239" s="1"/>
      <c r="P239" s="1"/>
      <c r="Q239" s="1"/>
      <c r="R239" s="1"/>
      <c r="S239" s="1"/>
      <c r="T239" s="1"/>
      <c r="U239" s="1"/>
      <c r="V239" s="1"/>
      <c r="W239" s="1"/>
      <c r="X239" s="1"/>
      <c r="Y239" s="1"/>
      <c r="Z239" s="1"/>
    </row>
    <row r="240">
      <c r="A240" s="1"/>
      <c r="B240" s="18"/>
      <c r="C240" s="1"/>
      <c r="D240" s="1"/>
      <c r="E240" s="1"/>
      <c r="F240" s="19"/>
      <c r="G240" s="1"/>
      <c r="H240" s="1"/>
      <c r="I240" s="1"/>
      <c r="J240" s="1"/>
      <c r="K240" s="1"/>
      <c r="L240" s="1"/>
      <c r="M240" s="1"/>
      <c r="N240" s="1"/>
      <c r="O240" s="1"/>
      <c r="P240" s="1"/>
      <c r="Q240" s="1"/>
      <c r="R240" s="1"/>
      <c r="S240" s="1"/>
      <c r="T240" s="1"/>
      <c r="U240" s="1"/>
      <c r="V240" s="1"/>
      <c r="W240" s="1"/>
      <c r="X240" s="1"/>
      <c r="Y240" s="1"/>
      <c r="Z240" s="1"/>
    </row>
    <row r="241">
      <c r="A241" s="1"/>
      <c r="B241" s="21" t="s">
        <v>168</v>
      </c>
      <c r="C241" s="1"/>
      <c r="D241" s="1"/>
      <c r="E241" s="1"/>
      <c r="F241" s="51">
        <f>(D235+D236)*495.9</f>
        <v>0</v>
      </c>
      <c r="G241" s="1"/>
      <c r="H241" s="1"/>
      <c r="I241" s="1"/>
      <c r="J241" s="1"/>
      <c r="K241" s="1"/>
      <c r="L241" s="1"/>
      <c r="M241" s="1"/>
      <c r="N241" s="1"/>
      <c r="O241" s="1"/>
      <c r="P241" s="1"/>
      <c r="Q241" s="1"/>
      <c r="R241" s="1"/>
      <c r="S241" s="1"/>
      <c r="T241" s="1"/>
      <c r="U241" s="1"/>
      <c r="V241" s="1"/>
      <c r="W241" s="1"/>
      <c r="X241" s="1"/>
      <c r="Y241" s="1"/>
      <c r="Z241" s="1"/>
    </row>
    <row r="242">
      <c r="A242" s="1"/>
      <c r="B242" s="18"/>
      <c r="C242" s="1"/>
      <c r="D242" s="1"/>
      <c r="E242" s="1"/>
      <c r="F242" s="51"/>
      <c r="G242" s="1"/>
      <c r="H242" s="1"/>
      <c r="I242" s="1"/>
      <c r="J242" s="1"/>
      <c r="K242" s="1"/>
      <c r="L242" s="1"/>
      <c r="M242" s="1"/>
      <c r="N242" s="1"/>
      <c r="O242" s="1"/>
      <c r="P242" s="1"/>
      <c r="Q242" s="1"/>
      <c r="R242" s="1"/>
      <c r="S242" s="1"/>
      <c r="T242" s="1"/>
      <c r="U242" s="1"/>
      <c r="V242" s="1"/>
      <c r="W242" s="1"/>
      <c r="X242" s="1"/>
      <c r="Y242" s="1"/>
      <c r="Z242" s="1"/>
    </row>
    <row r="243">
      <c r="A243" s="1"/>
      <c r="B243" s="21" t="s">
        <v>169</v>
      </c>
      <c r="C243" s="1"/>
      <c r="D243" s="1"/>
      <c r="E243" s="1"/>
      <c r="F243" s="51">
        <f>(D238+D239)*495.9</f>
        <v>0</v>
      </c>
      <c r="G243" s="1"/>
      <c r="H243" s="1"/>
      <c r="I243" s="1"/>
      <c r="J243" s="1"/>
      <c r="K243" s="1"/>
      <c r="L243" s="1"/>
      <c r="M243" s="1"/>
      <c r="N243" s="1"/>
      <c r="O243" s="1"/>
      <c r="P243" s="1"/>
      <c r="Q243" s="1"/>
      <c r="R243" s="1"/>
      <c r="S243" s="1"/>
      <c r="T243" s="1"/>
      <c r="U243" s="1"/>
      <c r="V243" s="1"/>
      <c r="W243" s="1"/>
      <c r="X243" s="1"/>
      <c r="Y243" s="1"/>
      <c r="Z243" s="1"/>
    </row>
    <row r="244">
      <c r="A244" s="1"/>
      <c r="B244" s="18"/>
      <c r="C244" s="1"/>
      <c r="D244" s="1"/>
      <c r="E244" s="1"/>
      <c r="F244" s="19"/>
      <c r="G244" s="1"/>
      <c r="H244" s="1"/>
      <c r="I244" s="1"/>
      <c r="J244" s="1"/>
      <c r="K244" s="1"/>
      <c r="L244" s="1"/>
      <c r="M244" s="1"/>
      <c r="N244" s="1"/>
      <c r="O244" s="1"/>
      <c r="P244" s="1"/>
      <c r="Q244" s="1"/>
      <c r="R244" s="1"/>
      <c r="S244" s="1"/>
      <c r="T244" s="1"/>
      <c r="U244" s="1"/>
      <c r="V244" s="1"/>
      <c r="W244" s="1"/>
      <c r="X244" s="1"/>
      <c r="Y244" s="1"/>
      <c r="Z244" s="1"/>
    </row>
    <row r="245">
      <c r="A245" s="1"/>
      <c r="B245" s="72" t="s">
        <v>170</v>
      </c>
      <c r="C245" s="35"/>
      <c r="D245" s="35"/>
      <c r="E245" s="35"/>
      <c r="F245" s="73">
        <f>(F241*(5/12))+(F243*(7/12))</f>
        <v>0</v>
      </c>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4" t="s">
        <v>171</v>
      </c>
      <c r="C248" s="15"/>
      <c r="D248" s="15"/>
      <c r="E248" s="15"/>
      <c r="F248" s="16"/>
      <c r="G248" s="1"/>
      <c r="H248" s="1"/>
      <c r="I248" s="1"/>
      <c r="J248" s="1"/>
      <c r="K248" s="1"/>
      <c r="L248" s="1"/>
      <c r="M248" s="1"/>
      <c r="N248" s="1"/>
      <c r="O248" s="1"/>
      <c r="P248" s="1"/>
      <c r="Q248" s="1"/>
      <c r="R248" s="1"/>
      <c r="S248" s="1"/>
      <c r="T248" s="1"/>
      <c r="U248" s="1"/>
      <c r="V248" s="1"/>
      <c r="W248" s="1"/>
      <c r="X248" s="1"/>
      <c r="Y248" s="1"/>
      <c r="Z248" s="1"/>
    </row>
    <row r="249">
      <c r="A249" s="1"/>
      <c r="B249" s="18"/>
      <c r="C249" s="1"/>
      <c r="D249" s="1"/>
      <c r="E249" s="1"/>
      <c r="F249" s="19"/>
      <c r="G249" s="1"/>
      <c r="H249" s="1"/>
      <c r="I249" s="1"/>
      <c r="J249" s="1"/>
      <c r="K249" s="1"/>
      <c r="L249" s="1"/>
      <c r="M249" s="1"/>
      <c r="N249" s="1"/>
      <c r="O249" s="1"/>
      <c r="P249" s="1"/>
      <c r="Q249" s="1"/>
      <c r="R249" s="1"/>
      <c r="S249" s="1"/>
      <c r="T249" s="1"/>
      <c r="U249" s="1"/>
      <c r="V249" s="1"/>
      <c r="W249" s="1"/>
      <c r="X249" s="1"/>
      <c r="Y249" s="1"/>
      <c r="Z249" s="1"/>
    </row>
    <row r="250">
      <c r="A250" s="1"/>
      <c r="B250" s="65" t="s">
        <v>153</v>
      </c>
      <c r="C250" s="1"/>
      <c r="D250" s="1"/>
      <c r="E250" s="1"/>
      <c r="F250" s="19"/>
      <c r="G250" s="1"/>
      <c r="H250" s="1"/>
      <c r="I250" s="1"/>
      <c r="J250" s="1"/>
      <c r="K250" s="1"/>
      <c r="L250" s="1"/>
      <c r="M250" s="1"/>
      <c r="N250" s="1"/>
      <c r="O250" s="1"/>
      <c r="P250" s="1"/>
      <c r="Q250" s="1"/>
      <c r="R250" s="1"/>
      <c r="S250" s="1"/>
      <c r="T250" s="1"/>
      <c r="U250" s="1"/>
      <c r="V250" s="1"/>
      <c r="W250" s="1"/>
      <c r="X250" s="1"/>
      <c r="Y250" s="1"/>
      <c r="Z250" s="1"/>
    </row>
    <row r="251">
      <c r="A251" s="1"/>
      <c r="B251" s="18"/>
      <c r="C251" s="1"/>
      <c r="D251" s="1"/>
      <c r="E251" s="1"/>
      <c r="F251" s="19"/>
      <c r="G251" s="1"/>
      <c r="H251" s="1"/>
      <c r="I251" s="1"/>
      <c r="J251" s="1"/>
      <c r="K251" s="1"/>
      <c r="L251" s="1"/>
      <c r="M251" s="1"/>
      <c r="N251" s="1"/>
      <c r="O251" s="1"/>
      <c r="P251" s="1"/>
      <c r="Q251" s="1"/>
      <c r="R251" s="1"/>
      <c r="S251" s="1"/>
      <c r="T251" s="1"/>
      <c r="U251" s="1"/>
      <c r="V251" s="1"/>
      <c r="W251" s="1"/>
      <c r="X251" s="1"/>
      <c r="Y251" s="1"/>
      <c r="Z251" s="1"/>
    </row>
    <row r="252">
      <c r="A252" s="1"/>
      <c r="B252" s="21" t="s">
        <v>172</v>
      </c>
      <c r="C252" s="1"/>
      <c r="D252" s="24">
        <f>IFERROR(VLOOKUP($C$2,Lookups!$A:$CR,87,0),0)</f>
        <v>9770</v>
      </c>
      <c r="E252" s="1"/>
      <c r="F252" s="19"/>
      <c r="G252" s="1"/>
      <c r="H252" s="1"/>
      <c r="I252" s="1"/>
      <c r="J252" s="1"/>
      <c r="K252" s="1"/>
      <c r="L252" s="1"/>
      <c r="M252" s="1"/>
      <c r="N252" s="1"/>
      <c r="O252" s="1"/>
      <c r="P252" s="1"/>
      <c r="Q252" s="1"/>
      <c r="R252" s="1"/>
      <c r="S252" s="1"/>
      <c r="T252" s="1"/>
      <c r="U252" s="1"/>
      <c r="V252" s="1"/>
      <c r="W252" s="1"/>
      <c r="X252" s="1"/>
      <c r="Y252" s="1"/>
      <c r="Z252" s="1"/>
    </row>
    <row r="253">
      <c r="A253" s="1"/>
      <c r="B253" s="18"/>
      <c r="C253" s="1"/>
      <c r="D253" s="1"/>
      <c r="E253" s="1"/>
      <c r="F253" s="19"/>
      <c r="G253" s="1"/>
      <c r="H253" s="1"/>
      <c r="I253" s="1"/>
      <c r="J253" s="1"/>
      <c r="K253" s="1"/>
      <c r="L253" s="1"/>
      <c r="M253" s="1"/>
      <c r="N253" s="1"/>
      <c r="O253" s="1"/>
      <c r="P253" s="1"/>
      <c r="Q253" s="1"/>
      <c r="R253" s="1"/>
      <c r="S253" s="1"/>
      <c r="T253" s="1"/>
      <c r="U253" s="1"/>
      <c r="V253" s="1"/>
      <c r="W253" s="1"/>
      <c r="X253" s="1"/>
      <c r="Y253" s="1"/>
      <c r="Z253" s="1"/>
    </row>
    <row r="254">
      <c r="A254" s="1"/>
      <c r="B254" s="21" t="s">
        <v>173</v>
      </c>
      <c r="C254" s="1"/>
      <c r="D254" s="1"/>
      <c r="E254" s="1"/>
      <c r="F254" s="19"/>
      <c r="G254" s="1"/>
      <c r="H254" s="1"/>
      <c r="I254" s="1"/>
      <c r="J254" s="1"/>
      <c r="K254" s="1"/>
      <c r="L254" s="1"/>
      <c r="M254" s="1"/>
      <c r="N254" s="1"/>
      <c r="O254" s="1"/>
      <c r="P254" s="1"/>
      <c r="Q254" s="1"/>
      <c r="R254" s="1"/>
      <c r="S254" s="1"/>
      <c r="T254" s="1"/>
      <c r="U254" s="1"/>
      <c r="V254" s="1"/>
      <c r="W254" s="1"/>
      <c r="X254" s="1"/>
      <c r="Y254" s="1"/>
      <c r="Z254" s="1"/>
    </row>
    <row r="255">
      <c r="A255" s="1"/>
      <c r="B255" s="18"/>
      <c r="C255" s="1"/>
      <c r="D255" s="1"/>
      <c r="E255" s="1"/>
      <c r="F255" s="19"/>
      <c r="G255" s="1"/>
      <c r="H255" s="1"/>
      <c r="I255" s="1"/>
      <c r="J255" s="1"/>
      <c r="K255" s="1"/>
      <c r="L255" s="1"/>
      <c r="M255" s="1"/>
      <c r="N255" s="1"/>
      <c r="O255" s="1"/>
      <c r="P255" s="1"/>
      <c r="Q255" s="1"/>
      <c r="R255" s="1"/>
      <c r="S255" s="1"/>
      <c r="T255" s="1"/>
      <c r="U255" s="1"/>
      <c r="V255" s="1"/>
      <c r="W255" s="1"/>
      <c r="X255" s="1"/>
      <c r="Y255" s="1"/>
      <c r="Z255" s="1"/>
    </row>
    <row r="256">
      <c r="A256" s="1"/>
      <c r="B256" s="18" t="s">
        <v>32</v>
      </c>
      <c r="C256" s="1"/>
      <c r="D256" s="24">
        <f>IF(D257&gt;0,16000,0)</f>
        <v>16000</v>
      </c>
      <c r="E256" s="1"/>
      <c r="F256" s="19"/>
      <c r="G256" s="1"/>
      <c r="H256" s="1"/>
      <c r="I256" s="1"/>
      <c r="J256" s="1"/>
      <c r="K256" s="1"/>
      <c r="L256" s="1"/>
      <c r="M256" s="1"/>
      <c r="N256" s="1"/>
      <c r="O256" s="1"/>
      <c r="P256" s="1"/>
      <c r="Q256" s="1"/>
      <c r="R256" s="1"/>
      <c r="S256" s="1"/>
      <c r="T256" s="1"/>
      <c r="U256" s="1"/>
      <c r="V256" s="1"/>
      <c r="W256" s="1"/>
      <c r="X256" s="1"/>
      <c r="Y256" s="1"/>
      <c r="Z256" s="1"/>
    </row>
    <row r="257">
      <c r="A257" s="1"/>
      <c r="B257" s="18" t="s">
        <v>174</v>
      </c>
      <c r="C257" s="1"/>
      <c r="D257" s="24">
        <f>10*D12</f>
        <v>4170</v>
      </c>
      <c r="E257" s="1"/>
      <c r="F257" s="19"/>
      <c r="G257" s="1"/>
      <c r="H257" s="1"/>
      <c r="I257" s="1"/>
      <c r="J257" s="1"/>
      <c r="K257" s="1"/>
      <c r="L257" s="1"/>
      <c r="M257" s="1"/>
      <c r="N257" s="1"/>
      <c r="O257" s="1"/>
      <c r="P257" s="1"/>
      <c r="Q257" s="1"/>
      <c r="R257" s="1"/>
      <c r="S257" s="1"/>
      <c r="T257" s="1"/>
      <c r="U257" s="1"/>
      <c r="V257" s="1"/>
      <c r="W257" s="1"/>
      <c r="X257" s="1"/>
      <c r="Y257" s="1"/>
      <c r="Z257" s="1"/>
    </row>
    <row r="258">
      <c r="A258" s="1"/>
      <c r="B258" s="18" t="s">
        <v>175</v>
      </c>
      <c r="C258" s="1"/>
      <c r="D258" s="24">
        <f>D257+D256</f>
        <v>20170</v>
      </c>
      <c r="E258" s="1"/>
      <c r="F258" s="19"/>
      <c r="G258" s="1"/>
      <c r="H258" s="1"/>
      <c r="I258" s="1"/>
      <c r="J258" s="1"/>
      <c r="K258" s="1"/>
      <c r="L258" s="1"/>
      <c r="M258" s="1"/>
      <c r="N258" s="1"/>
      <c r="O258" s="1"/>
      <c r="P258" s="1"/>
      <c r="Q258" s="1"/>
      <c r="R258" s="1"/>
      <c r="S258" s="1"/>
      <c r="T258" s="1"/>
      <c r="U258" s="1"/>
      <c r="V258" s="1"/>
      <c r="W258" s="1"/>
      <c r="X258" s="1"/>
      <c r="Y258" s="1"/>
      <c r="Z258" s="1"/>
    </row>
    <row r="259">
      <c r="A259" s="1"/>
      <c r="B259" s="18" t="s">
        <v>176</v>
      </c>
      <c r="C259" s="1"/>
      <c r="D259" s="24">
        <f>D258*(7/12)</f>
        <v>11765.83333</v>
      </c>
      <c r="E259" s="1"/>
      <c r="F259" s="19"/>
      <c r="G259" s="1"/>
      <c r="H259" s="1"/>
      <c r="I259" s="1"/>
      <c r="J259" s="1"/>
      <c r="K259" s="1"/>
      <c r="L259" s="1"/>
      <c r="M259" s="1"/>
      <c r="N259" s="1"/>
      <c r="O259" s="1"/>
      <c r="P259" s="1"/>
      <c r="Q259" s="1"/>
      <c r="R259" s="1"/>
      <c r="S259" s="1"/>
      <c r="T259" s="1"/>
      <c r="U259" s="1"/>
      <c r="V259" s="1"/>
      <c r="W259" s="1"/>
      <c r="X259" s="1"/>
      <c r="Y259" s="1"/>
      <c r="Z259" s="1"/>
    </row>
    <row r="260">
      <c r="A260" s="1"/>
      <c r="B260" s="18"/>
      <c r="C260" s="1"/>
      <c r="D260" s="1"/>
      <c r="E260" s="1"/>
      <c r="F260" s="19"/>
      <c r="G260" s="1"/>
      <c r="H260" s="1"/>
      <c r="I260" s="1"/>
      <c r="J260" s="1"/>
      <c r="K260" s="1"/>
      <c r="L260" s="1"/>
      <c r="M260" s="1"/>
      <c r="N260" s="1"/>
      <c r="O260" s="1"/>
      <c r="P260" s="1"/>
      <c r="Q260" s="1"/>
      <c r="R260" s="1"/>
      <c r="S260" s="1"/>
      <c r="T260" s="1"/>
      <c r="U260" s="1"/>
      <c r="V260" s="1"/>
      <c r="W260" s="1"/>
      <c r="X260" s="1"/>
      <c r="Y260" s="1"/>
      <c r="Z260" s="1"/>
    </row>
    <row r="261">
      <c r="A261" s="1"/>
      <c r="B261" s="58" t="s">
        <v>177</v>
      </c>
      <c r="C261" s="35"/>
      <c r="D261" s="35"/>
      <c r="E261" s="35"/>
      <c r="F261" s="33">
        <f>D259+D252</f>
        <v>21535.83333</v>
      </c>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74" t="s">
        <v>178</v>
      </c>
      <c r="C263" s="75" t="s">
        <v>179</v>
      </c>
      <c r="D263" s="75"/>
      <c r="E263" s="75"/>
      <c r="F263" s="76">
        <v>0.0</v>
      </c>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4" t="s">
        <v>180</v>
      </c>
      <c r="C265" s="15"/>
      <c r="D265" s="15"/>
      <c r="E265" s="15"/>
      <c r="F265" s="16"/>
      <c r="G265" s="1"/>
      <c r="H265" s="1"/>
      <c r="I265" s="1"/>
      <c r="J265" s="1"/>
      <c r="K265" s="1"/>
      <c r="L265" s="1"/>
      <c r="M265" s="1"/>
      <c r="N265" s="1"/>
      <c r="O265" s="1"/>
      <c r="P265" s="1"/>
      <c r="Q265" s="1"/>
      <c r="R265" s="1"/>
      <c r="S265" s="1"/>
      <c r="T265" s="1"/>
      <c r="U265" s="1"/>
      <c r="V265" s="1"/>
      <c r="W265" s="1"/>
      <c r="X265" s="1"/>
      <c r="Y265" s="1"/>
      <c r="Z265" s="1"/>
    </row>
    <row r="266">
      <c r="A266" s="1"/>
      <c r="B266" s="18"/>
      <c r="C266" s="1"/>
      <c r="D266" s="1"/>
      <c r="E266" s="1"/>
      <c r="F266" s="19"/>
      <c r="G266" s="1"/>
      <c r="H266" s="1"/>
      <c r="I266" s="1"/>
      <c r="J266" s="1"/>
      <c r="K266" s="1"/>
      <c r="L266" s="1"/>
      <c r="M266" s="1"/>
      <c r="N266" s="1"/>
      <c r="O266" s="1"/>
      <c r="P266" s="1"/>
      <c r="Q266" s="1"/>
      <c r="R266" s="1"/>
      <c r="S266" s="1"/>
      <c r="T266" s="1"/>
      <c r="U266" s="1"/>
      <c r="V266" s="1"/>
      <c r="W266" s="1"/>
      <c r="X266" s="1"/>
      <c r="Y266" s="1"/>
      <c r="Z266" s="1"/>
    </row>
    <row r="267">
      <c r="A267" s="1"/>
      <c r="B267" s="18" t="s">
        <v>181</v>
      </c>
      <c r="C267" s="77"/>
      <c r="D267" s="1"/>
      <c r="E267" s="1"/>
      <c r="F267" s="78"/>
      <c r="G267" s="1"/>
      <c r="H267" s="1"/>
      <c r="I267" s="1"/>
      <c r="J267" s="1"/>
      <c r="K267" s="1"/>
      <c r="L267" s="1"/>
      <c r="M267" s="1"/>
      <c r="N267" s="1"/>
      <c r="O267" s="1"/>
      <c r="P267" s="1"/>
      <c r="Q267" s="1"/>
      <c r="R267" s="1"/>
      <c r="S267" s="1"/>
      <c r="T267" s="1"/>
      <c r="U267" s="1"/>
      <c r="V267" s="1"/>
      <c r="W267" s="1"/>
      <c r="X267" s="1"/>
      <c r="Y267" s="1"/>
      <c r="Z267" s="1"/>
    </row>
    <row r="268">
      <c r="A268" s="1"/>
      <c r="B268" s="18" t="s">
        <v>182</v>
      </c>
      <c r="C268" s="77"/>
      <c r="D268" s="1"/>
      <c r="E268" s="1"/>
      <c r="F268" s="78"/>
      <c r="G268" s="1"/>
      <c r="H268" s="1"/>
      <c r="I268" s="1"/>
      <c r="J268" s="1"/>
      <c r="K268" s="1"/>
      <c r="L268" s="1"/>
      <c r="M268" s="1"/>
      <c r="N268" s="1"/>
      <c r="O268" s="1"/>
      <c r="P268" s="1"/>
      <c r="Q268" s="1"/>
      <c r="R268" s="1"/>
      <c r="S268" s="1"/>
      <c r="T268" s="1"/>
      <c r="U268" s="1"/>
      <c r="V268" s="1"/>
      <c r="W268" s="1"/>
      <c r="X268" s="1"/>
      <c r="Y268" s="1"/>
      <c r="Z268" s="1"/>
    </row>
    <row r="269">
      <c r="A269" s="1"/>
      <c r="B269" s="18" t="s">
        <v>183</v>
      </c>
      <c r="C269" s="77"/>
      <c r="D269" s="1"/>
      <c r="E269" s="1"/>
      <c r="F269" s="78"/>
      <c r="G269" s="1"/>
      <c r="H269" s="1"/>
      <c r="I269" s="1"/>
      <c r="J269" s="1"/>
      <c r="K269" s="1"/>
      <c r="L269" s="1"/>
      <c r="M269" s="1"/>
      <c r="N269" s="1"/>
      <c r="O269" s="1"/>
      <c r="P269" s="1"/>
      <c r="Q269" s="1"/>
      <c r="R269" s="1"/>
      <c r="S269" s="1"/>
      <c r="T269" s="1"/>
      <c r="U269" s="1"/>
      <c r="V269" s="1"/>
      <c r="W269" s="1"/>
      <c r="X269" s="1"/>
      <c r="Y269" s="1"/>
      <c r="Z269" s="1"/>
    </row>
    <row r="270">
      <c r="A270" s="1"/>
      <c r="B270" s="18"/>
      <c r="C270" s="77"/>
      <c r="D270" s="1"/>
      <c r="E270" s="1"/>
      <c r="F270" s="78"/>
      <c r="G270" s="1"/>
      <c r="H270" s="1"/>
      <c r="I270" s="1"/>
      <c r="J270" s="1"/>
      <c r="K270" s="1"/>
      <c r="L270" s="1"/>
      <c r="M270" s="1"/>
      <c r="N270" s="1"/>
      <c r="O270" s="1"/>
      <c r="P270" s="1"/>
      <c r="Q270" s="1"/>
      <c r="R270" s="1"/>
      <c r="S270" s="1"/>
      <c r="T270" s="1"/>
      <c r="U270" s="1"/>
      <c r="V270" s="1"/>
      <c r="W270" s="1"/>
      <c r="X270" s="1"/>
      <c r="Y270" s="1"/>
      <c r="Z270" s="1"/>
    </row>
    <row r="271">
      <c r="A271" s="1"/>
      <c r="B271" s="21" t="s">
        <v>184</v>
      </c>
      <c r="C271" s="77" t="s">
        <v>185</v>
      </c>
      <c r="D271" s="1"/>
      <c r="E271" s="1"/>
      <c r="F271" s="78">
        <f>SUM(D12:D14)</f>
        <v>417</v>
      </c>
      <c r="G271" s="1"/>
      <c r="H271" s="1"/>
      <c r="I271" s="1"/>
      <c r="J271" s="1"/>
      <c r="K271" s="1"/>
      <c r="L271" s="1"/>
      <c r="M271" s="1"/>
      <c r="N271" s="1"/>
      <c r="O271" s="1"/>
      <c r="P271" s="1"/>
      <c r="Q271" s="1"/>
      <c r="R271" s="1"/>
      <c r="S271" s="1"/>
      <c r="T271" s="1"/>
      <c r="U271" s="1"/>
      <c r="V271" s="1"/>
      <c r="W271" s="1"/>
      <c r="X271" s="1"/>
      <c r="Y271" s="1"/>
      <c r="Z271" s="1"/>
    </row>
    <row r="272">
      <c r="A272" s="1"/>
      <c r="B272" s="21" t="s">
        <v>186</v>
      </c>
      <c r="C272" s="77" t="s">
        <v>187</v>
      </c>
      <c r="D272" s="1"/>
      <c r="E272" s="1"/>
      <c r="F272" s="79">
        <f>F271</f>
        <v>417</v>
      </c>
      <c r="G272" s="1"/>
      <c r="H272" s="1"/>
      <c r="I272" s="1"/>
      <c r="J272" s="1"/>
      <c r="K272" s="1"/>
      <c r="L272" s="1"/>
      <c r="M272" s="1"/>
      <c r="N272" s="1"/>
      <c r="O272" s="1"/>
      <c r="P272" s="1"/>
      <c r="Q272" s="1"/>
      <c r="R272" s="1"/>
      <c r="S272" s="1"/>
      <c r="T272" s="1"/>
      <c r="U272" s="1"/>
      <c r="V272" s="1"/>
      <c r="W272" s="1"/>
      <c r="X272" s="1"/>
      <c r="Y272" s="1"/>
      <c r="Z272" s="1"/>
    </row>
    <row r="273">
      <c r="A273" s="1"/>
      <c r="B273" s="21" t="s">
        <v>188</v>
      </c>
      <c r="C273" s="77" t="s">
        <v>187</v>
      </c>
      <c r="D273" s="1"/>
      <c r="E273" s="1"/>
      <c r="F273" s="79">
        <f>F271</f>
        <v>417</v>
      </c>
      <c r="G273" s="1"/>
      <c r="H273" s="1"/>
      <c r="I273" s="1"/>
      <c r="J273" s="1"/>
      <c r="K273" s="1"/>
      <c r="L273" s="1"/>
      <c r="M273" s="1"/>
      <c r="N273" s="1"/>
      <c r="O273" s="1"/>
      <c r="P273" s="1"/>
      <c r="Q273" s="1"/>
      <c r="R273" s="1"/>
      <c r="S273" s="1"/>
      <c r="T273" s="1"/>
      <c r="U273" s="1"/>
      <c r="V273" s="1"/>
      <c r="W273" s="1"/>
      <c r="X273" s="1"/>
      <c r="Y273" s="1"/>
      <c r="Z273" s="1"/>
    </row>
    <row r="274">
      <c r="A274" s="1"/>
      <c r="B274" s="18"/>
      <c r="C274" s="80"/>
      <c r="D274" s="1"/>
      <c r="E274" s="1"/>
      <c r="F274" s="19"/>
      <c r="G274" s="1"/>
      <c r="H274" s="1"/>
      <c r="I274" s="1"/>
      <c r="J274" s="1"/>
      <c r="K274" s="1"/>
      <c r="L274" s="1"/>
      <c r="M274" s="1"/>
      <c r="N274" s="1"/>
      <c r="O274" s="1"/>
      <c r="P274" s="1"/>
      <c r="Q274" s="1"/>
      <c r="R274" s="1"/>
      <c r="S274" s="1"/>
      <c r="T274" s="1"/>
      <c r="U274" s="1"/>
      <c r="V274" s="1"/>
      <c r="W274" s="1"/>
      <c r="X274" s="1"/>
      <c r="Y274" s="1"/>
      <c r="Z274" s="1"/>
    </row>
    <row r="275">
      <c r="A275" s="1"/>
      <c r="B275" s="21" t="s">
        <v>189</v>
      </c>
      <c r="C275" s="77" t="s">
        <v>190</v>
      </c>
      <c r="D275" s="1"/>
      <c r="E275" s="1"/>
      <c r="F275" s="81">
        <v>0.0</v>
      </c>
      <c r="G275" s="1"/>
      <c r="H275" s="82">
        <f t="shared" ref="H275:H276" si="27">1+F275</f>
        <v>1</v>
      </c>
      <c r="I275" s="1"/>
      <c r="J275" s="1"/>
      <c r="K275" s="1"/>
      <c r="L275" s="1"/>
      <c r="M275" s="1"/>
      <c r="N275" s="1"/>
      <c r="O275" s="1"/>
      <c r="P275" s="1"/>
      <c r="Q275" s="1"/>
      <c r="R275" s="1"/>
      <c r="S275" s="1"/>
      <c r="T275" s="1"/>
      <c r="U275" s="1"/>
      <c r="V275" s="1"/>
      <c r="W275" s="1"/>
      <c r="X275" s="1"/>
      <c r="Y275" s="1"/>
      <c r="Z275" s="1"/>
    </row>
    <row r="276">
      <c r="A276" s="1"/>
      <c r="B276" s="21" t="s">
        <v>191</v>
      </c>
      <c r="C276" s="77" t="s">
        <v>190</v>
      </c>
      <c r="D276" s="1"/>
      <c r="E276" s="1"/>
      <c r="F276" s="81">
        <v>0.0</v>
      </c>
      <c r="G276" s="1"/>
      <c r="H276" s="82">
        <f t="shared" si="27"/>
        <v>1</v>
      </c>
      <c r="I276" s="1"/>
      <c r="J276" s="1"/>
      <c r="K276" s="1"/>
      <c r="L276" s="1"/>
      <c r="M276" s="1"/>
      <c r="N276" s="1"/>
      <c r="O276" s="1"/>
      <c r="P276" s="1"/>
      <c r="Q276" s="1"/>
      <c r="R276" s="1"/>
      <c r="S276" s="1"/>
      <c r="T276" s="1"/>
      <c r="U276" s="1"/>
      <c r="V276" s="1"/>
      <c r="W276" s="1"/>
      <c r="X276" s="1"/>
      <c r="Y276" s="1"/>
      <c r="Z276" s="1"/>
    </row>
    <row r="277">
      <c r="A277" s="1"/>
      <c r="B277" s="18"/>
      <c r="C277" s="77"/>
      <c r="D277" s="1"/>
      <c r="E277" s="1"/>
      <c r="F277" s="19"/>
      <c r="G277" s="1"/>
      <c r="H277" s="1"/>
      <c r="I277" s="1"/>
      <c r="J277" s="1"/>
      <c r="K277" s="1"/>
      <c r="L277" s="1"/>
      <c r="M277" s="1"/>
      <c r="N277" s="1"/>
      <c r="O277" s="1"/>
      <c r="P277" s="1"/>
      <c r="Q277" s="1"/>
      <c r="R277" s="1"/>
      <c r="S277" s="1"/>
      <c r="T277" s="1"/>
      <c r="U277" s="1"/>
      <c r="V277" s="1"/>
      <c r="W277" s="1"/>
      <c r="X277" s="1"/>
      <c r="Y277" s="1"/>
      <c r="Z277" s="1"/>
    </row>
    <row r="278">
      <c r="A278" s="1"/>
      <c r="B278" s="18" t="s">
        <v>192</v>
      </c>
      <c r="C278" s="77" t="s">
        <v>193</v>
      </c>
      <c r="D278" s="1"/>
      <c r="E278" s="1"/>
      <c r="F278" s="83">
        <v>0.03</v>
      </c>
      <c r="G278" s="1"/>
      <c r="H278" s="1"/>
      <c r="I278" s="1"/>
      <c r="J278" s="1"/>
      <c r="K278" s="1"/>
      <c r="L278" s="1"/>
      <c r="M278" s="1"/>
      <c r="N278" s="1"/>
      <c r="O278" s="1"/>
      <c r="P278" s="1"/>
      <c r="Q278" s="1"/>
      <c r="R278" s="1"/>
      <c r="S278" s="1"/>
      <c r="T278" s="1"/>
      <c r="U278" s="1"/>
      <c r="V278" s="1"/>
      <c r="W278" s="1"/>
      <c r="X278" s="1"/>
      <c r="Y278" s="1"/>
      <c r="Z278" s="1"/>
    </row>
    <row r="279">
      <c r="A279" s="1"/>
      <c r="B279" s="18" t="s">
        <v>194</v>
      </c>
      <c r="C279" s="77" t="s">
        <v>195</v>
      </c>
      <c r="D279" s="1"/>
      <c r="E279" s="1"/>
      <c r="F279" s="83">
        <v>0.0</v>
      </c>
      <c r="G279" s="1"/>
      <c r="H279" s="1"/>
      <c r="I279" s="1"/>
      <c r="J279" s="1"/>
      <c r="K279" s="1"/>
      <c r="L279" s="1"/>
      <c r="M279" s="1"/>
      <c r="N279" s="1"/>
      <c r="O279" s="1"/>
      <c r="P279" s="1"/>
      <c r="Q279" s="1"/>
      <c r="R279" s="1"/>
      <c r="S279" s="1"/>
      <c r="T279" s="1"/>
      <c r="U279" s="1"/>
      <c r="V279" s="1"/>
      <c r="W279" s="1"/>
      <c r="X279" s="1"/>
      <c r="Y279" s="1"/>
      <c r="Z279" s="1"/>
    </row>
    <row r="280">
      <c r="A280" s="1"/>
      <c r="B280" s="18"/>
      <c r="C280" s="1"/>
      <c r="D280" s="1"/>
      <c r="E280" s="1"/>
      <c r="F280" s="19"/>
      <c r="G280" s="1"/>
      <c r="H280" s="1"/>
      <c r="I280" s="1"/>
      <c r="J280" s="1"/>
      <c r="K280" s="1"/>
      <c r="L280" s="1"/>
      <c r="M280" s="1"/>
      <c r="N280" s="1"/>
      <c r="O280" s="1"/>
      <c r="P280" s="1"/>
      <c r="Q280" s="1"/>
      <c r="R280" s="1"/>
      <c r="S280" s="1"/>
      <c r="T280" s="1"/>
      <c r="U280" s="1"/>
      <c r="V280" s="1"/>
      <c r="W280" s="1"/>
      <c r="X280" s="1"/>
      <c r="Y280" s="1"/>
      <c r="Z280" s="1"/>
    </row>
    <row r="281">
      <c r="A281" s="1"/>
      <c r="B281" s="84" t="s">
        <v>196</v>
      </c>
      <c r="C281" s="1"/>
      <c r="D281" s="1"/>
      <c r="E281" s="1"/>
      <c r="F281" s="19"/>
      <c r="G281" s="1"/>
      <c r="H281" s="1"/>
      <c r="I281" s="1"/>
      <c r="J281" s="1"/>
      <c r="K281" s="1"/>
      <c r="L281" s="1"/>
      <c r="M281" s="1"/>
      <c r="N281" s="1"/>
      <c r="O281" s="1"/>
      <c r="P281" s="1"/>
      <c r="Q281" s="1"/>
      <c r="R281" s="1"/>
      <c r="S281" s="1"/>
      <c r="T281" s="1"/>
      <c r="U281" s="1"/>
      <c r="V281" s="1"/>
      <c r="W281" s="1"/>
      <c r="X281" s="1"/>
      <c r="Y281" s="1"/>
      <c r="Z281" s="1"/>
    </row>
    <row r="282">
      <c r="A282" s="1"/>
      <c r="B282" s="18"/>
      <c r="C282" s="1"/>
      <c r="D282" s="1"/>
      <c r="E282" s="1"/>
      <c r="F282" s="19"/>
      <c r="G282" s="1"/>
      <c r="H282" s="1"/>
      <c r="I282" s="1"/>
      <c r="J282" s="1"/>
      <c r="K282" s="1"/>
      <c r="L282" s="1"/>
      <c r="M282" s="1"/>
      <c r="N282" s="1"/>
      <c r="O282" s="1"/>
      <c r="P282" s="1"/>
      <c r="Q282" s="1"/>
      <c r="R282" s="1"/>
      <c r="S282" s="1"/>
      <c r="T282" s="1"/>
      <c r="U282" s="1"/>
      <c r="V282" s="1"/>
      <c r="W282" s="1"/>
      <c r="X282" s="1"/>
      <c r="Y282" s="1"/>
      <c r="Z282" s="1"/>
    </row>
    <row r="283">
      <c r="A283" s="1"/>
      <c r="B283" s="21" t="s">
        <v>197</v>
      </c>
      <c r="C283" s="1"/>
      <c r="D283" s="1"/>
      <c r="E283" s="1"/>
      <c r="F283" s="25">
        <f>F33</f>
        <v>2920340.91</v>
      </c>
      <c r="G283" s="1"/>
      <c r="H283" s="85" t="s">
        <v>45</v>
      </c>
      <c r="I283" s="86"/>
      <c r="J283" s="1"/>
      <c r="K283" s="1"/>
      <c r="L283" s="1"/>
      <c r="M283" s="1"/>
      <c r="N283" s="1"/>
      <c r="O283" s="1"/>
      <c r="P283" s="1"/>
      <c r="Q283" s="1"/>
      <c r="R283" s="1"/>
      <c r="S283" s="1"/>
      <c r="T283" s="1"/>
      <c r="U283" s="1"/>
      <c r="V283" s="1"/>
      <c r="W283" s="1"/>
      <c r="X283" s="1"/>
      <c r="Y283" s="1"/>
      <c r="Z283" s="1"/>
    </row>
    <row r="284">
      <c r="A284" s="1"/>
      <c r="B284" s="21" t="s">
        <v>68</v>
      </c>
      <c r="C284" s="1"/>
      <c r="D284" s="1"/>
      <c r="E284" s="1"/>
      <c r="F284" s="25">
        <f>F27</f>
        <v>50091</v>
      </c>
      <c r="G284" s="1"/>
      <c r="H284" s="39" t="s">
        <v>47</v>
      </c>
      <c r="I284" s="40"/>
      <c r="J284" s="1"/>
      <c r="K284" s="1"/>
      <c r="L284" s="1"/>
      <c r="M284" s="1"/>
      <c r="N284" s="1"/>
      <c r="O284" s="1"/>
      <c r="P284" s="1"/>
      <c r="Q284" s="1"/>
      <c r="R284" s="1"/>
      <c r="S284" s="1"/>
      <c r="T284" s="1"/>
      <c r="U284" s="1"/>
      <c r="V284" s="1"/>
      <c r="W284" s="1"/>
      <c r="X284" s="1"/>
      <c r="Y284" s="1"/>
      <c r="Z284" s="1"/>
    </row>
    <row r="285">
      <c r="A285" s="1"/>
      <c r="B285" s="21" t="s">
        <v>198</v>
      </c>
      <c r="C285" s="1"/>
      <c r="D285" s="1"/>
      <c r="E285" s="1"/>
      <c r="F285" s="25">
        <f>F26*1.03</f>
        <v>185981.641</v>
      </c>
      <c r="G285" s="1"/>
      <c r="H285" s="39" t="s">
        <v>49</v>
      </c>
      <c r="I285" s="40"/>
      <c r="J285" s="1"/>
      <c r="K285" s="1"/>
      <c r="L285" s="1"/>
      <c r="M285" s="1"/>
      <c r="N285" s="1"/>
      <c r="O285" s="1"/>
      <c r="P285" s="1"/>
      <c r="Q285" s="1"/>
      <c r="R285" s="1"/>
      <c r="S285" s="1"/>
      <c r="T285" s="1"/>
      <c r="U285" s="1"/>
      <c r="V285" s="1"/>
      <c r="W285" s="1"/>
      <c r="X285" s="1"/>
      <c r="Y285" s="1"/>
      <c r="Z285" s="1"/>
    </row>
    <row r="286">
      <c r="A286" s="1"/>
      <c r="B286" s="21" t="s">
        <v>199</v>
      </c>
      <c r="C286" s="1"/>
      <c r="D286" s="1"/>
      <c r="E286" s="1"/>
      <c r="F286" s="25">
        <f>F283-F284-F285</f>
        <v>2684268.269</v>
      </c>
      <c r="G286" s="1"/>
      <c r="H286" s="39" t="s">
        <v>51</v>
      </c>
      <c r="I286" s="41" t="s">
        <v>200</v>
      </c>
      <c r="J286" s="1"/>
      <c r="K286" s="1"/>
      <c r="L286" s="1"/>
      <c r="M286" s="1"/>
      <c r="N286" s="1"/>
      <c r="O286" s="1"/>
      <c r="P286" s="1"/>
      <c r="Q286" s="1"/>
      <c r="R286" s="1"/>
      <c r="S286" s="1"/>
      <c r="T286" s="1"/>
      <c r="U286" s="1"/>
      <c r="V286" s="1"/>
      <c r="W286" s="1"/>
      <c r="X286" s="1"/>
      <c r="Y286" s="1"/>
      <c r="Z286" s="1"/>
    </row>
    <row r="287">
      <c r="A287" s="1"/>
      <c r="B287" s="21" t="s">
        <v>63</v>
      </c>
      <c r="C287" s="1"/>
      <c r="D287" s="1"/>
      <c r="E287" s="1"/>
      <c r="F287" s="42">
        <f>F271</f>
        <v>417</v>
      </c>
      <c r="G287" s="1"/>
      <c r="H287" s="39" t="s">
        <v>53</v>
      </c>
      <c r="I287" s="40"/>
      <c r="J287" s="1"/>
      <c r="K287" s="1"/>
      <c r="L287" s="1"/>
      <c r="M287" s="1"/>
      <c r="N287" s="1"/>
      <c r="O287" s="1"/>
      <c r="P287" s="1"/>
      <c r="Q287" s="1"/>
      <c r="R287" s="1"/>
      <c r="S287" s="1"/>
      <c r="T287" s="1"/>
      <c r="U287" s="1"/>
      <c r="V287" s="1"/>
      <c r="W287" s="1"/>
      <c r="X287" s="1"/>
      <c r="Y287" s="1"/>
      <c r="Z287" s="1"/>
    </row>
    <row r="288">
      <c r="A288" s="1"/>
      <c r="B288" s="21" t="s">
        <v>201</v>
      </c>
      <c r="C288" s="1"/>
      <c r="D288" s="1"/>
      <c r="E288" s="1"/>
      <c r="F288" s="25">
        <f>IFERROR(F286/F287,0)</f>
        <v>6437.09417</v>
      </c>
      <c r="G288" s="1"/>
      <c r="H288" s="39" t="s">
        <v>56</v>
      </c>
      <c r="I288" s="41" t="s">
        <v>202</v>
      </c>
      <c r="J288" s="1"/>
      <c r="K288" s="1"/>
      <c r="L288" s="1"/>
      <c r="M288" s="1"/>
      <c r="N288" s="1"/>
      <c r="O288" s="1"/>
      <c r="P288" s="1"/>
      <c r="Q288" s="1"/>
      <c r="R288" s="1"/>
      <c r="S288" s="1"/>
      <c r="T288" s="1"/>
      <c r="U288" s="1"/>
      <c r="V288" s="1"/>
      <c r="W288" s="1"/>
      <c r="X288" s="1"/>
      <c r="Y288" s="1"/>
      <c r="Z288" s="1"/>
    </row>
    <row r="289">
      <c r="A289" s="1"/>
      <c r="B289" s="21" t="s">
        <v>203</v>
      </c>
      <c r="C289" s="1"/>
      <c r="D289" s="1"/>
      <c r="E289" s="1"/>
      <c r="F289" s="25">
        <f>F288*H275</f>
        <v>6437.09417</v>
      </c>
      <c r="G289" s="1"/>
      <c r="H289" s="39" t="s">
        <v>58</v>
      </c>
      <c r="I289" s="40" t="str">
        <f>"F*"&amp;H275</f>
        <v>F*1</v>
      </c>
      <c r="J289" s="1"/>
      <c r="K289" s="1"/>
      <c r="L289" s="1"/>
      <c r="M289" s="1"/>
      <c r="N289" s="1"/>
      <c r="O289" s="1"/>
      <c r="P289" s="1"/>
      <c r="Q289" s="1"/>
      <c r="R289" s="1"/>
      <c r="S289" s="1"/>
      <c r="T289" s="1"/>
      <c r="U289" s="1"/>
      <c r="V289" s="1"/>
      <c r="W289" s="1"/>
      <c r="X289" s="1"/>
      <c r="Y289" s="1"/>
      <c r="Z289" s="1"/>
    </row>
    <row r="290">
      <c r="A290" s="1"/>
      <c r="B290" s="21" t="s">
        <v>204</v>
      </c>
      <c r="C290" s="1"/>
      <c r="D290" s="1"/>
      <c r="E290" s="1"/>
      <c r="F290" s="42">
        <f>F272</f>
        <v>417</v>
      </c>
      <c r="G290" s="1"/>
      <c r="H290" s="39" t="s">
        <v>61</v>
      </c>
      <c r="I290" s="40"/>
      <c r="J290" s="1"/>
      <c r="K290" s="1"/>
      <c r="L290" s="1"/>
      <c r="M290" s="1"/>
      <c r="N290" s="1"/>
      <c r="O290" s="1"/>
      <c r="P290" s="1"/>
      <c r="Q290" s="1"/>
      <c r="R290" s="1"/>
      <c r="S290" s="1"/>
      <c r="T290" s="1"/>
      <c r="U290" s="1"/>
      <c r="V290" s="1"/>
      <c r="W290" s="1"/>
      <c r="X290" s="1"/>
      <c r="Y290" s="1"/>
      <c r="Z290" s="1"/>
    </row>
    <row r="291">
      <c r="A291" s="1"/>
      <c r="B291" s="21" t="s">
        <v>205</v>
      </c>
      <c r="C291" s="1"/>
      <c r="D291" s="1"/>
      <c r="E291" s="1"/>
      <c r="F291" s="25">
        <f>F289*F290</f>
        <v>2684268.269</v>
      </c>
      <c r="G291" s="1"/>
      <c r="H291" s="39" t="s">
        <v>64</v>
      </c>
      <c r="I291" s="41" t="s">
        <v>206</v>
      </c>
      <c r="J291" s="1"/>
      <c r="K291" s="1"/>
      <c r="L291" s="1"/>
      <c r="M291" s="1"/>
      <c r="N291" s="1"/>
      <c r="O291" s="1"/>
      <c r="P291" s="1"/>
      <c r="Q291" s="1"/>
      <c r="R291" s="1"/>
      <c r="S291" s="1"/>
      <c r="T291" s="1"/>
      <c r="U291" s="1"/>
      <c r="V291" s="1"/>
      <c r="W291" s="1"/>
      <c r="X291" s="1"/>
      <c r="Y291" s="1"/>
      <c r="Z291" s="1"/>
    </row>
    <row r="292">
      <c r="A292" s="1"/>
      <c r="B292" s="21" t="s">
        <v>207</v>
      </c>
      <c r="C292" s="1"/>
      <c r="D292" s="1"/>
      <c r="E292" s="1"/>
      <c r="F292" s="25">
        <f>F52</f>
        <v>50091</v>
      </c>
      <c r="G292" s="1"/>
      <c r="H292" s="39" t="s">
        <v>66</v>
      </c>
      <c r="I292" s="40"/>
      <c r="J292" s="1"/>
      <c r="K292" s="1"/>
      <c r="L292" s="1"/>
      <c r="M292" s="1"/>
      <c r="N292" s="1"/>
      <c r="O292" s="1"/>
      <c r="P292" s="1"/>
      <c r="Q292" s="1"/>
      <c r="R292" s="1"/>
      <c r="S292" s="1"/>
      <c r="T292" s="1"/>
      <c r="U292" s="1"/>
      <c r="V292" s="1"/>
      <c r="W292" s="1"/>
      <c r="X292" s="1"/>
      <c r="Y292" s="1"/>
      <c r="Z292" s="1"/>
    </row>
    <row r="293">
      <c r="A293" s="1"/>
      <c r="B293" s="21" t="s">
        <v>208</v>
      </c>
      <c r="C293" s="1"/>
      <c r="D293" s="1"/>
      <c r="E293" s="1"/>
      <c r="F293" s="25">
        <f>F285</f>
        <v>185981.641</v>
      </c>
      <c r="G293" s="1"/>
      <c r="H293" s="39" t="s">
        <v>69</v>
      </c>
      <c r="I293" s="40"/>
      <c r="J293" s="1"/>
      <c r="K293" s="1"/>
      <c r="L293" s="1"/>
      <c r="M293" s="1"/>
      <c r="N293" s="1"/>
      <c r="O293" s="1"/>
      <c r="P293" s="1"/>
      <c r="Q293" s="1"/>
      <c r="R293" s="1"/>
      <c r="S293" s="1"/>
      <c r="T293" s="1"/>
      <c r="U293" s="1"/>
      <c r="V293" s="1"/>
      <c r="W293" s="1"/>
      <c r="X293" s="1"/>
      <c r="Y293" s="1"/>
      <c r="Z293" s="1"/>
    </row>
    <row r="294">
      <c r="A294" s="1"/>
      <c r="B294" s="18"/>
      <c r="C294" s="1"/>
      <c r="D294" s="1"/>
      <c r="E294" s="1"/>
      <c r="F294" s="19"/>
      <c r="G294" s="1"/>
      <c r="H294" s="39"/>
      <c r="I294" s="40"/>
      <c r="J294" s="1"/>
      <c r="K294" s="1"/>
      <c r="L294" s="1"/>
      <c r="M294" s="1"/>
      <c r="N294" s="1"/>
      <c r="O294" s="1"/>
      <c r="P294" s="1"/>
      <c r="Q294" s="1"/>
      <c r="R294" s="1"/>
      <c r="S294" s="1"/>
      <c r="T294" s="1"/>
      <c r="U294" s="1"/>
      <c r="V294" s="1"/>
      <c r="W294" s="1"/>
      <c r="X294" s="1"/>
      <c r="Y294" s="1"/>
      <c r="Z294" s="1"/>
    </row>
    <row r="295">
      <c r="A295" s="1"/>
      <c r="B295" s="20" t="s">
        <v>72</v>
      </c>
      <c r="C295" s="1"/>
      <c r="D295" s="1"/>
      <c r="E295" s="1"/>
      <c r="F295" s="30">
        <f>F291+F292+F293</f>
        <v>2920340.91</v>
      </c>
      <c r="G295" s="1"/>
      <c r="H295" s="43" t="s">
        <v>71</v>
      </c>
      <c r="I295" s="44" t="s">
        <v>209</v>
      </c>
      <c r="J295" s="1"/>
      <c r="K295" s="1"/>
      <c r="L295" s="1"/>
      <c r="M295" s="1"/>
      <c r="N295" s="1"/>
      <c r="O295" s="1"/>
      <c r="P295" s="1"/>
      <c r="Q295" s="1"/>
      <c r="R295" s="1"/>
      <c r="S295" s="1"/>
      <c r="T295" s="1"/>
      <c r="U295" s="1"/>
      <c r="V295" s="1"/>
      <c r="W295" s="1"/>
      <c r="X295" s="1"/>
      <c r="Y295" s="1"/>
      <c r="Z295" s="1"/>
    </row>
    <row r="296">
      <c r="A296" s="1"/>
      <c r="B296" s="18"/>
      <c r="C296" s="1"/>
      <c r="D296" s="1"/>
      <c r="E296" s="1"/>
      <c r="F296" s="19"/>
      <c r="G296" s="1"/>
      <c r="H296" s="1"/>
      <c r="I296" s="1"/>
      <c r="J296" s="1"/>
      <c r="K296" s="1"/>
      <c r="L296" s="1"/>
      <c r="M296" s="1"/>
      <c r="N296" s="1"/>
      <c r="O296" s="1"/>
      <c r="P296" s="1"/>
      <c r="Q296" s="1"/>
      <c r="R296" s="1"/>
      <c r="S296" s="1"/>
      <c r="T296" s="1"/>
      <c r="U296" s="1"/>
      <c r="V296" s="1"/>
      <c r="W296" s="1"/>
      <c r="X296" s="1"/>
      <c r="Y296" s="1"/>
      <c r="Z296" s="1"/>
    </row>
    <row r="297">
      <c r="A297" s="1"/>
      <c r="B297" s="84" t="s">
        <v>210</v>
      </c>
      <c r="C297" s="1"/>
      <c r="D297" s="1"/>
      <c r="E297" s="1"/>
      <c r="F297" s="19"/>
      <c r="G297" s="1"/>
      <c r="H297" s="1"/>
      <c r="I297" s="1"/>
      <c r="J297" s="1"/>
      <c r="K297" s="1"/>
      <c r="L297" s="1"/>
      <c r="M297" s="1"/>
      <c r="N297" s="1"/>
      <c r="O297" s="1"/>
      <c r="P297" s="1"/>
      <c r="Q297" s="1"/>
      <c r="R297" s="1"/>
      <c r="S297" s="1"/>
      <c r="T297" s="1"/>
      <c r="U297" s="1"/>
      <c r="V297" s="1"/>
      <c r="W297" s="1"/>
      <c r="X297" s="1"/>
      <c r="Y297" s="1"/>
      <c r="Z297" s="1"/>
    </row>
    <row r="298">
      <c r="A298" s="1"/>
      <c r="B298" s="18"/>
      <c r="C298" s="1"/>
      <c r="D298" s="1"/>
      <c r="E298" s="1"/>
      <c r="F298" s="19"/>
      <c r="G298" s="1"/>
      <c r="H298" s="1"/>
      <c r="I298" s="1"/>
      <c r="J298" s="1"/>
      <c r="K298" s="1"/>
      <c r="L298" s="1"/>
      <c r="M298" s="1"/>
      <c r="N298" s="1"/>
      <c r="O298" s="1"/>
      <c r="P298" s="1"/>
      <c r="Q298" s="1"/>
      <c r="R298" s="1"/>
      <c r="S298" s="1"/>
      <c r="T298" s="1"/>
      <c r="U298" s="1"/>
      <c r="V298" s="1"/>
      <c r="W298" s="1"/>
      <c r="X298" s="1"/>
      <c r="Y298" s="1"/>
      <c r="Z298" s="1"/>
    </row>
    <row r="299">
      <c r="A299" s="1"/>
      <c r="B299" s="21" t="s">
        <v>211</v>
      </c>
      <c r="C299" s="1"/>
      <c r="D299" s="1"/>
      <c r="E299" s="1"/>
      <c r="F299" s="25">
        <f>F295</f>
        <v>2920340.91</v>
      </c>
      <c r="G299" s="1"/>
      <c r="H299" s="85" t="s">
        <v>45</v>
      </c>
      <c r="I299" s="86"/>
      <c r="J299" s="1"/>
      <c r="K299" s="1"/>
      <c r="L299" s="1"/>
      <c r="M299" s="1"/>
      <c r="N299" s="1"/>
      <c r="O299" s="1"/>
      <c r="P299" s="1"/>
      <c r="Q299" s="1"/>
      <c r="R299" s="1"/>
      <c r="S299" s="1"/>
      <c r="T299" s="1"/>
      <c r="U299" s="1"/>
      <c r="V299" s="1"/>
      <c r="W299" s="1"/>
      <c r="X299" s="1"/>
      <c r="Y299" s="1"/>
      <c r="Z299" s="1"/>
    </row>
    <row r="300">
      <c r="A300" s="1"/>
      <c r="B300" s="21" t="s">
        <v>207</v>
      </c>
      <c r="C300" s="1"/>
      <c r="D300" s="1"/>
      <c r="E300" s="1"/>
      <c r="F300" s="25">
        <f>F27</f>
        <v>50091</v>
      </c>
      <c r="G300" s="1"/>
      <c r="H300" s="39" t="s">
        <v>47</v>
      </c>
      <c r="I300" s="40"/>
      <c r="J300" s="1"/>
      <c r="K300" s="1"/>
      <c r="L300" s="1"/>
      <c r="M300" s="1"/>
      <c r="N300" s="1"/>
      <c r="O300" s="1"/>
      <c r="P300" s="1"/>
      <c r="Q300" s="1"/>
      <c r="R300" s="1"/>
      <c r="S300" s="1"/>
      <c r="T300" s="1"/>
      <c r="U300" s="1"/>
      <c r="V300" s="1"/>
      <c r="W300" s="1"/>
      <c r="X300" s="1"/>
      <c r="Y300" s="1"/>
      <c r="Z300" s="1"/>
    </row>
    <row r="301">
      <c r="A301" s="1"/>
      <c r="B301" s="21" t="s">
        <v>212</v>
      </c>
      <c r="C301" s="1"/>
      <c r="D301" s="1"/>
      <c r="E301" s="1"/>
      <c r="F301" s="25">
        <f>F285*1.03</f>
        <v>191561.0902</v>
      </c>
      <c r="G301" s="1"/>
      <c r="H301" s="39" t="s">
        <v>49</v>
      </c>
      <c r="I301" s="40"/>
      <c r="J301" s="1"/>
      <c r="K301" s="1"/>
      <c r="L301" s="1"/>
      <c r="M301" s="1"/>
      <c r="N301" s="1"/>
      <c r="O301" s="1"/>
      <c r="P301" s="1"/>
      <c r="Q301" s="1"/>
      <c r="R301" s="1"/>
      <c r="S301" s="1"/>
      <c r="T301" s="1"/>
      <c r="U301" s="1"/>
      <c r="V301" s="1"/>
      <c r="W301" s="1"/>
      <c r="X301" s="1"/>
      <c r="Y301" s="1"/>
      <c r="Z301" s="1"/>
    </row>
    <row r="302">
      <c r="A302" s="1"/>
      <c r="B302" s="21" t="s">
        <v>213</v>
      </c>
      <c r="C302" s="1"/>
      <c r="D302" s="1"/>
      <c r="E302" s="1"/>
      <c r="F302" s="25">
        <f>F299-F300-F301</f>
        <v>2678688.82</v>
      </c>
      <c r="G302" s="1"/>
      <c r="H302" s="39" t="s">
        <v>51</v>
      </c>
      <c r="I302" s="41" t="s">
        <v>200</v>
      </c>
      <c r="J302" s="1"/>
      <c r="K302" s="1"/>
      <c r="L302" s="1"/>
      <c r="M302" s="1"/>
      <c r="N302" s="1"/>
      <c r="O302" s="1"/>
      <c r="P302" s="1"/>
      <c r="Q302" s="1"/>
      <c r="R302" s="1"/>
      <c r="S302" s="1"/>
      <c r="T302" s="1"/>
      <c r="U302" s="1"/>
      <c r="V302" s="1"/>
      <c r="W302" s="1"/>
      <c r="X302" s="1"/>
      <c r="Y302" s="1"/>
      <c r="Z302" s="1"/>
    </row>
    <row r="303">
      <c r="A303" s="1"/>
      <c r="B303" s="21" t="s">
        <v>204</v>
      </c>
      <c r="C303" s="1"/>
      <c r="D303" s="1"/>
      <c r="E303" s="1"/>
      <c r="F303" s="42">
        <f>F272</f>
        <v>417</v>
      </c>
      <c r="G303" s="1"/>
      <c r="H303" s="39" t="s">
        <v>53</v>
      </c>
      <c r="I303" s="40"/>
      <c r="J303" s="1"/>
      <c r="K303" s="1"/>
      <c r="L303" s="1"/>
      <c r="M303" s="1"/>
      <c r="N303" s="1"/>
      <c r="O303" s="1"/>
      <c r="P303" s="1"/>
      <c r="Q303" s="1"/>
      <c r="R303" s="1"/>
      <c r="S303" s="1"/>
      <c r="T303" s="1"/>
      <c r="U303" s="1"/>
      <c r="V303" s="1"/>
      <c r="W303" s="1"/>
      <c r="X303" s="1"/>
      <c r="Y303" s="1"/>
      <c r="Z303" s="1"/>
    </row>
    <row r="304">
      <c r="A304" s="1"/>
      <c r="B304" s="21" t="s">
        <v>214</v>
      </c>
      <c r="C304" s="1"/>
      <c r="D304" s="1"/>
      <c r="E304" s="1"/>
      <c r="F304" s="25">
        <f>IFERROR(F302/F303,0)</f>
        <v>6423.714196</v>
      </c>
      <c r="G304" s="1"/>
      <c r="H304" s="39" t="s">
        <v>56</v>
      </c>
      <c r="I304" s="41" t="s">
        <v>202</v>
      </c>
      <c r="J304" s="1"/>
      <c r="K304" s="1"/>
      <c r="L304" s="1"/>
      <c r="M304" s="1"/>
      <c r="N304" s="1"/>
      <c r="O304" s="1"/>
      <c r="P304" s="1"/>
      <c r="Q304" s="1"/>
      <c r="R304" s="1"/>
      <c r="S304" s="1"/>
      <c r="T304" s="1"/>
      <c r="U304" s="1"/>
      <c r="V304" s="1"/>
      <c r="W304" s="1"/>
      <c r="X304" s="1"/>
      <c r="Y304" s="1"/>
      <c r="Z304" s="1"/>
    </row>
    <row r="305">
      <c r="A305" s="1"/>
      <c r="B305" s="21" t="s">
        <v>215</v>
      </c>
      <c r="C305" s="1"/>
      <c r="D305" s="1"/>
      <c r="E305" s="1"/>
      <c r="F305" s="25">
        <f>F304*H276</f>
        <v>6423.714196</v>
      </c>
      <c r="G305" s="1"/>
      <c r="H305" s="39" t="s">
        <v>58</v>
      </c>
      <c r="I305" s="40" t="str">
        <f>"F*"&amp;H276</f>
        <v>F*1</v>
      </c>
      <c r="J305" s="1"/>
      <c r="K305" s="1"/>
      <c r="L305" s="1"/>
      <c r="M305" s="1"/>
      <c r="N305" s="1"/>
      <c r="O305" s="1"/>
      <c r="P305" s="1"/>
      <c r="Q305" s="1"/>
      <c r="R305" s="1"/>
      <c r="S305" s="1"/>
      <c r="T305" s="1"/>
      <c r="U305" s="1"/>
      <c r="V305" s="1"/>
      <c r="W305" s="1"/>
      <c r="X305" s="1"/>
      <c r="Y305" s="1"/>
      <c r="Z305" s="1"/>
    </row>
    <row r="306">
      <c r="A306" s="1"/>
      <c r="B306" s="21" t="s">
        <v>216</v>
      </c>
      <c r="C306" s="1"/>
      <c r="D306" s="1"/>
      <c r="E306" s="1"/>
      <c r="F306" s="42">
        <f>F273</f>
        <v>417</v>
      </c>
      <c r="G306" s="1"/>
      <c r="H306" s="39" t="s">
        <v>61</v>
      </c>
      <c r="I306" s="40"/>
      <c r="J306" s="1"/>
      <c r="K306" s="1"/>
      <c r="L306" s="1"/>
      <c r="M306" s="1"/>
      <c r="N306" s="1"/>
      <c r="O306" s="1"/>
      <c r="P306" s="1"/>
      <c r="Q306" s="1"/>
      <c r="R306" s="1"/>
      <c r="S306" s="1"/>
      <c r="T306" s="1"/>
      <c r="U306" s="1"/>
      <c r="V306" s="1"/>
      <c r="W306" s="1"/>
      <c r="X306" s="1"/>
      <c r="Y306" s="1"/>
      <c r="Z306" s="1"/>
    </row>
    <row r="307">
      <c r="A307" s="1"/>
      <c r="B307" s="21" t="s">
        <v>217</v>
      </c>
      <c r="C307" s="1"/>
      <c r="D307" s="1"/>
      <c r="E307" s="1"/>
      <c r="F307" s="25">
        <f>F305*F306</f>
        <v>2678688.82</v>
      </c>
      <c r="G307" s="1"/>
      <c r="H307" s="39" t="s">
        <v>64</v>
      </c>
      <c r="I307" s="41" t="s">
        <v>206</v>
      </c>
      <c r="J307" s="1"/>
      <c r="K307" s="1"/>
      <c r="L307" s="1"/>
      <c r="M307" s="1"/>
      <c r="N307" s="1"/>
      <c r="O307" s="1"/>
      <c r="P307" s="1"/>
      <c r="Q307" s="1"/>
      <c r="R307" s="1"/>
      <c r="S307" s="1"/>
      <c r="T307" s="1"/>
      <c r="U307" s="1"/>
      <c r="V307" s="1"/>
      <c r="W307" s="1"/>
      <c r="X307" s="1"/>
      <c r="Y307" s="1"/>
      <c r="Z307" s="1"/>
    </row>
    <row r="308">
      <c r="A308" s="1"/>
      <c r="B308" s="21" t="s">
        <v>218</v>
      </c>
      <c r="C308" s="1"/>
      <c r="D308" s="1"/>
      <c r="E308" s="1"/>
      <c r="F308" s="25">
        <f>F292</f>
        <v>50091</v>
      </c>
      <c r="G308" s="1"/>
      <c r="H308" s="39" t="s">
        <v>66</v>
      </c>
      <c r="I308" s="40"/>
      <c r="J308" s="1"/>
      <c r="K308" s="1"/>
      <c r="L308" s="1"/>
      <c r="M308" s="1"/>
      <c r="N308" s="1"/>
      <c r="O308" s="1"/>
      <c r="P308" s="1"/>
      <c r="Q308" s="1"/>
      <c r="R308" s="1"/>
      <c r="S308" s="1"/>
      <c r="T308" s="1"/>
      <c r="U308" s="1"/>
      <c r="V308" s="1"/>
      <c r="W308" s="1"/>
      <c r="X308" s="1"/>
      <c r="Y308" s="1"/>
      <c r="Z308" s="1"/>
    </row>
    <row r="309">
      <c r="A309" s="1"/>
      <c r="B309" s="21" t="s">
        <v>219</v>
      </c>
      <c r="C309" s="1"/>
      <c r="D309" s="1"/>
      <c r="E309" s="1"/>
      <c r="F309" s="25">
        <f>F301</f>
        <v>191561.0902</v>
      </c>
      <c r="G309" s="1"/>
      <c r="H309" s="39" t="s">
        <v>69</v>
      </c>
      <c r="I309" s="40"/>
      <c r="J309" s="1"/>
      <c r="K309" s="1"/>
      <c r="L309" s="1"/>
      <c r="M309" s="1"/>
      <c r="N309" s="1"/>
      <c r="O309" s="1"/>
      <c r="P309" s="1"/>
      <c r="Q309" s="1"/>
      <c r="R309" s="1"/>
      <c r="S309" s="1"/>
      <c r="T309" s="1"/>
      <c r="U309" s="1"/>
      <c r="V309" s="1"/>
      <c r="W309" s="1"/>
      <c r="X309" s="1"/>
      <c r="Y309" s="1"/>
      <c r="Z309" s="1"/>
    </row>
    <row r="310">
      <c r="A310" s="1"/>
      <c r="B310" s="18"/>
      <c r="C310" s="1"/>
      <c r="D310" s="1"/>
      <c r="E310" s="1"/>
      <c r="F310" s="19"/>
      <c r="G310" s="1"/>
      <c r="H310" s="39"/>
      <c r="I310" s="40"/>
      <c r="J310" s="1"/>
      <c r="K310" s="1"/>
      <c r="L310" s="1"/>
      <c r="M310" s="1"/>
      <c r="N310" s="1"/>
      <c r="O310" s="1"/>
      <c r="P310" s="1"/>
      <c r="Q310" s="1"/>
      <c r="R310" s="1"/>
      <c r="S310" s="1"/>
      <c r="T310" s="1"/>
      <c r="U310" s="1"/>
      <c r="V310" s="1"/>
      <c r="W310" s="1"/>
      <c r="X310" s="1"/>
      <c r="Y310" s="1"/>
      <c r="Z310" s="1"/>
    </row>
    <row r="311">
      <c r="A311" s="1"/>
      <c r="B311" s="58" t="s">
        <v>72</v>
      </c>
      <c r="C311" s="35"/>
      <c r="D311" s="35"/>
      <c r="E311" s="35"/>
      <c r="F311" s="33">
        <f>F307+F308+F309</f>
        <v>2920340.91</v>
      </c>
      <c r="G311" s="1"/>
      <c r="H311" s="43" t="s">
        <v>71</v>
      </c>
      <c r="I311" s="44" t="s">
        <v>209</v>
      </c>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row r="1023">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row>
    <row r="1024">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row>
    <row r="1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row>
    <row r="1026">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row>
    <row r="1027">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row>
    <row r="1028">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row>
    <row r="1029">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row>
    <row r="1030">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row>
    <row r="1031">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row>
    <row r="103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row>
    <row r="1033">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row>
    <row r="1034">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row>
    <row r="103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row>
    <row r="1036">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row>
    <row r="1037">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row>
    <row r="1038">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row>
    <row r="1039">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row>
    <row r="1040">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row>
    <row r="1041">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row>
    <row r="1042">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row>
    <row r="1043">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row>
    <row r="1044">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row>
    <row r="104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row>
    <row r="1046">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row>
    <row r="1047">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row>
    <row r="1048">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row>
    <row r="1049">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row>
    <row r="1050">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row>
    <row r="1051">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row>
    <row r="1052">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row>
    <row r="1053">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row>
    <row r="1054">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row>
    <row r="105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row>
    <row r="1056">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row>
    <row r="1057">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row>
    <row r="1058">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row>
    <row r="1059">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row>
    <row r="1060">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row>
    <row r="1061">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row>
    <row r="1062">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row>
    <row r="1063">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row>
    <row r="1064">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row>
    <row r="106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row>
    <row r="1066">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row>
    <row r="1067">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row>
    <row r="1068">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row>
    <row r="1069">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row>
    <row r="1070">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row>
    <row r="1071">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row>
    <row r="1072">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row>
    <row r="1073">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row>
    <row r="1074">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row>
    <row r="107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row>
    <row r="1076">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row>
    <row r="1077">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row>
    <row r="1078">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row>
    <row r="1079">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row>
    <row r="1080">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row>
    <row r="1081">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row>
    <row r="1082">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row>
    <row r="1083">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row>
    <row r="1084">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row>
    <row r="108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row>
    <row r="1086">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row>
    <row r="1087">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row>
    <row r="1088">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row>
    <row r="1089">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row>
    <row r="1090">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row>
    <row r="1091">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row>
    <row r="1092">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row>
    <row r="1093">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row>
    <row r="1094">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row>
    <row r="1095">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row>
    <row r="1096">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row>
    <row r="1097">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row>
    <row r="1098">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row>
    <row r="1099">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row>
    <row r="1100">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row>
    <row r="1101">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row>
    <row r="1102">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row>
    <row r="1103">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row>
    <row r="1104">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row>
    <row r="1105">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row>
    <row r="1106">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row>
    <row r="1107">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row>
    <row r="1108">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row>
    <row r="1109">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row>
    <row r="1110">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row>
    <row r="1111">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row>
    <row r="1112">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row>
    <row r="1113">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row>
    <row r="1114">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row>
    <row r="1115">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row>
    <row r="1116">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row>
    <row r="1117">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row>
    <row r="1118">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row>
    <row r="1119">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row>
    <row r="1120">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row>
    <row r="1121">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row>
    <row r="1122">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row>
    <row r="1123">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row>
    <row r="1124">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row>
    <row r="1125">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row>
    <row r="1126">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row>
    <row r="1127">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row>
    <row r="1128">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row>
    <row r="1129">
      <c r="A1129" s="8"/>
      <c r="B1129" s="8"/>
      <c r="C1129" s="8"/>
      <c r="D1129" s="8"/>
      <c r="E1129" s="8"/>
      <c r="F1129" s="8"/>
      <c r="G1129" s="8"/>
      <c r="H1129" s="8"/>
      <c r="I1129" s="8"/>
      <c r="J1129" s="8"/>
      <c r="K1129" s="8"/>
      <c r="L1129" s="8"/>
      <c r="M1129" s="8"/>
      <c r="N1129" s="8"/>
      <c r="O1129" s="8"/>
      <c r="P1129" s="8"/>
      <c r="Q1129" s="8"/>
      <c r="R1129" s="8"/>
      <c r="S1129" s="8"/>
      <c r="T1129" s="8"/>
      <c r="U1129" s="8"/>
      <c r="V1129" s="8"/>
      <c r="W1129" s="8"/>
      <c r="X1129" s="8"/>
      <c r="Y1129" s="8"/>
      <c r="Z1129" s="8"/>
    </row>
    <row r="1130">
      <c r="A1130" s="8"/>
      <c r="B1130" s="8"/>
      <c r="C1130" s="8"/>
      <c r="D1130" s="8"/>
      <c r="E1130" s="8"/>
      <c r="F1130" s="8"/>
      <c r="G1130" s="8"/>
      <c r="H1130" s="8"/>
      <c r="I1130" s="8"/>
      <c r="J1130" s="8"/>
      <c r="K1130" s="8"/>
      <c r="L1130" s="8"/>
      <c r="M1130" s="8"/>
      <c r="N1130" s="8"/>
      <c r="O1130" s="8"/>
      <c r="P1130" s="8"/>
      <c r="Q1130" s="8"/>
      <c r="R1130" s="8"/>
      <c r="S1130" s="8"/>
      <c r="T1130" s="8"/>
      <c r="U1130" s="8"/>
      <c r="V1130" s="8"/>
      <c r="W1130" s="8"/>
      <c r="X1130" s="8"/>
      <c r="Y1130" s="8"/>
      <c r="Z1130" s="8"/>
    </row>
    <row r="1131">
      <c r="A1131" s="8"/>
      <c r="B1131" s="8"/>
      <c r="C1131" s="8"/>
      <c r="D1131" s="8"/>
      <c r="E1131" s="8"/>
      <c r="F1131" s="8"/>
      <c r="G1131" s="8"/>
      <c r="H1131" s="8"/>
      <c r="I1131" s="8"/>
      <c r="J1131" s="8"/>
      <c r="K1131" s="8"/>
      <c r="L1131" s="8"/>
      <c r="M1131" s="8"/>
      <c r="N1131" s="8"/>
      <c r="O1131" s="8"/>
      <c r="P1131" s="8"/>
      <c r="Q1131" s="8"/>
      <c r="R1131" s="8"/>
      <c r="S1131" s="8"/>
      <c r="T1131" s="8"/>
      <c r="U1131" s="8"/>
      <c r="V1131" s="8"/>
      <c r="W1131" s="8"/>
      <c r="X1131" s="8"/>
      <c r="Y1131" s="8"/>
      <c r="Z1131" s="8"/>
    </row>
    <row r="1132">
      <c r="A1132" s="8"/>
      <c r="B1132" s="8"/>
      <c r="C1132" s="8"/>
      <c r="D1132" s="8"/>
      <c r="E1132" s="8"/>
      <c r="F1132" s="8"/>
      <c r="G1132" s="8"/>
      <c r="H1132" s="8"/>
      <c r="I1132" s="8"/>
      <c r="J1132" s="8"/>
      <c r="K1132" s="8"/>
      <c r="L1132" s="8"/>
      <c r="M1132" s="8"/>
      <c r="N1132" s="8"/>
      <c r="O1132" s="8"/>
      <c r="P1132" s="8"/>
      <c r="Q1132" s="8"/>
      <c r="R1132" s="8"/>
      <c r="S1132" s="8"/>
      <c r="T1132" s="8"/>
      <c r="U1132" s="8"/>
      <c r="V1132" s="8"/>
      <c r="W1132" s="8"/>
      <c r="X1132" s="8"/>
      <c r="Y1132" s="8"/>
      <c r="Z1132" s="8"/>
    </row>
    <row r="1133">
      <c r="A1133" s="8"/>
      <c r="B1133" s="8"/>
      <c r="C1133" s="8"/>
      <c r="D1133" s="8"/>
      <c r="E1133" s="8"/>
      <c r="F1133" s="8"/>
      <c r="G1133" s="8"/>
      <c r="H1133" s="8"/>
      <c r="I1133" s="8"/>
      <c r="J1133" s="8"/>
      <c r="K1133" s="8"/>
      <c r="L1133" s="8"/>
      <c r="M1133" s="8"/>
      <c r="N1133" s="8"/>
      <c r="O1133" s="8"/>
      <c r="P1133" s="8"/>
      <c r="Q1133" s="8"/>
      <c r="R1133" s="8"/>
      <c r="S1133" s="8"/>
      <c r="T1133" s="8"/>
      <c r="U1133" s="8"/>
      <c r="V1133" s="8"/>
      <c r="W1133" s="8"/>
      <c r="X1133" s="8"/>
      <c r="Y1133" s="8"/>
      <c r="Z1133" s="8"/>
    </row>
    <row r="1134">
      <c r="A1134" s="8"/>
      <c r="B1134" s="8"/>
      <c r="C1134" s="8"/>
      <c r="D1134" s="8"/>
      <c r="E1134" s="8"/>
      <c r="F1134" s="8"/>
      <c r="G1134" s="8"/>
      <c r="H1134" s="8"/>
      <c r="I1134" s="8"/>
      <c r="J1134" s="8"/>
      <c r="K1134" s="8"/>
      <c r="L1134" s="8"/>
      <c r="M1134" s="8"/>
      <c r="N1134" s="8"/>
      <c r="O1134" s="8"/>
      <c r="P1134" s="8"/>
      <c r="Q1134" s="8"/>
      <c r="R1134" s="8"/>
      <c r="S1134" s="8"/>
      <c r="T1134" s="8"/>
      <c r="U1134" s="8"/>
      <c r="V1134" s="8"/>
      <c r="W1134" s="8"/>
      <c r="X1134" s="8"/>
      <c r="Y1134" s="8"/>
      <c r="Z1134" s="8"/>
    </row>
    <row r="1135">
      <c r="A1135" s="8"/>
      <c r="B1135" s="8"/>
      <c r="C1135" s="8"/>
      <c r="D1135" s="8"/>
      <c r="E1135" s="8"/>
      <c r="F1135" s="8"/>
      <c r="G1135" s="8"/>
      <c r="H1135" s="8"/>
      <c r="I1135" s="8"/>
      <c r="J1135" s="8"/>
      <c r="K1135" s="8"/>
      <c r="L1135" s="8"/>
      <c r="M1135" s="8"/>
      <c r="N1135" s="8"/>
      <c r="O1135" s="8"/>
      <c r="P1135" s="8"/>
      <c r="Q1135" s="8"/>
      <c r="R1135" s="8"/>
      <c r="S1135" s="8"/>
      <c r="T1135" s="8"/>
      <c r="U1135" s="8"/>
      <c r="V1135" s="8"/>
      <c r="W1135" s="8"/>
      <c r="X1135" s="8"/>
      <c r="Y1135" s="8"/>
      <c r="Z1135" s="8"/>
    </row>
    <row r="1136">
      <c r="A1136" s="8"/>
      <c r="B1136" s="8"/>
      <c r="C1136" s="8"/>
      <c r="D1136" s="8"/>
      <c r="E1136" s="8"/>
      <c r="F1136" s="8"/>
      <c r="G1136" s="8"/>
      <c r="H1136" s="8"/>
      <c r="I1136" s="8"/>
      <c r="J1136" s="8"/>
      <c r="K1136" s="8"/>
      <c r="L1136" s="8"/>
      <c r="M1136" s="8"/>
      <c r="N1136" s="8"/>
      <c r="O1136" s="8"/>
      <c r="P1136" s="8"/>
      <c r="Q1136" s="8"/>
      <c r="R1136" s="8"/>
      <c r="S1136" s="8"/>
      <c r="T1136" s="8"/>
      <c r="U1136" s="8"/>
      <c r="V1136" s="8"/>
      <c r="W1136" s="8"/>
      <c r="X1136" s="8"/>
      <c r="Y1136" s="8"/>
      <c r="Z1136" s="8"/>
    </row>
    <row r="1137">
      <c r="A1137" s="8"/>
      <c r="B1137" s="8"/>
      <c r="C1137" s="8"/>
      <c r="D1137" s="8"/>
      <c r="E1137" s="8"/>
      <c r="F1137" s="8"/>
      <c r="G1137" s="8"/>
      <c r="H1137" s="8"/>
      <c r="I1137" s="8"/>
      <c r="J1137" s="8"/>
      <c r="K1137" s="8"/>
      <c r="L1137" s="8"/>
      <c r="M1137" s="8"/>
      <c r="N1137" s="8"/>
      <c r="O1137" s="8"/>
      <c r="P1137" s="8"/>
      <c r="Q1137" s="8"/>
      <c r="R1137" s="8"/>
      <c r="S1137" s="8"/>
      <c r="T1137" s="8"/>
      <c r="U1137" s="8"/>
      <c r="V1137" s="8"/>
      <c r="W1137" s="8"/>
      <c r="X1137" s="8"/>
      <c r="Y1137" s="8"/>
      <c r="Z1137" s="8"/>
    </row>
    <row r="1138">
      <c r="A1138" s="8"/>
      <c r="B1138" s="8"/>
      <c r="C1138" s="8"/>
      <c r="D1138" s="8"/>
      <c r="E1138" s="8"/>
      <c r="F1138" s="8"/>
      <c r="G1138" s="8"/>
      <c r="H1138" s="8"/>
      <c r="I1138" s="8"/>
      <c r="J1138" s="8"/>
      <c r="K1138" s="8"/>
      <c r="L1138" s="8"/>
      <c r="M1138" s="8"/>
      <c r="N1138" s="8"/>
      <c r="O1138" s="8"/>
      <c r="P1138" s="8"/>
      <c r="Q1138" s="8"/>
      <c r="R1138" s="8"/>
      <c r="S1138" s="8"/>
      <c r="T1138" s="8"/>
      <c r="U1138" s="8"/>
      <c r="V1138" s="8"/>
      <c r="W1138" s="8"/>
      <c r="X1138" s="8"/>
      <c r="Y1138" s="8"/>
      <c r="Z1138" s="8"/>
    </row>
    <row r="1139">
      <c r="A1139" s="8"/>
      <c r="B1139" s="8"/>
      <c r="C1139" s="8"/>
      <c r="D1139" s="8"/>
      <c r="E1139" s="8"/>
      <c r="F1139" s="8"/>
      <c r="G1139" s="8"/>
      <c r="H1139" s="8"/>
      <c r="I1139" s="8"/>
      <c r="J1139" s="8"/>
      <c r="K1139" s="8"/>
      <c r="L1139" s="8"/>
      <c r="M1139" s="8"/>
      <c r="N1139" s="8"/>
      <c r="O1139" s="8"/>
      <c r="P1139" s="8"/>
      <c r="Q1139" s="8"/>
      <c r="R1139" s="8"/>
      <c r="S1139" s="8"/>
      <c r="T1139" s="8"/>
      <c r="U1139" s="8"/>
      <c r="V1139" s="8"/>
      <c r="W1139" s="8"/>
      <c r="X1139" s="8"/>
      <c r="Y1139" s="8"/>
      <c r="Z1139" s="8"/>
    </row>
    <row r="1140">
      <c r="A1140" s="8"/>
      <c r="B1140" s="8"/>
      <c r="C1140" s="8"/>
      <c r="D1140" s="8"/>
      <c r="E1140" s="8"/>
      <c r="F1140" s="8"/>
      <c r="G1140" s="8"/>
      <c r="H1140" s="8"/>
      <c r="I1140" s="8"/>
      <c r="J1140" s="8"/>
      <c r="K1140" s="8"/>
      <c r="L1140" s="8"/>
      <c r="M1140" s="8"/>
      <c r="N1140" s="8"/>
      <c r="O1140" s="8"/>
      <c r="P1140" s="8"/>
      <c r="Q1140" s="8"/>
      <c r="R1140" s="8"/>
      <c r="S1140" s="8"/>
      <c r="T1140" s="8"/>
      <c r="U1140" s="8"/>
      <c r="V1140" s="8"/>
      <c r="W1140" s="8"/>
      <c r="X1140" s="8"/>
      <c r="Y1140" s="8"/>
      <c r="Z1140" s="8"/>
    </row>
    <row r="1141">
      <c r="A1141" s="8"/>
      <c r="B1141" s="8"/>
      <c r="C1141" s="8"/>
      <c r="D1141" s="8"/>
      <c r="E1141" s="8"/>
      <c r="F1141" s="8"/>
      <c r="G1141" s="8"/>
      <c r="H1141" s="8"/>
      <c r="I1141" s="8"/>
      <c r="J1141" s="8"/>
      <c r="K1141" s="8"/>
      <c r="L1141" s="8"/>
      <c r="M1141" s="8"/>
      <c r="N1141" s="8"/>
      <c r="O1141" s="8"/>
      <c r="P1141" s="8"/>
      <c r="Q1141" s="8"/>
      <c r="R1141" s="8"/>
      <c r="S1141" s="8"/>
      <c r="T1141" s="8"/>
      <c r="U1141" s="8"/>
      <c r="V1141" s="8"/>
      <c r="W1141" s="8"/>
      <c r="X1141" s="8"/>
      <c r="Y1141" s="8"/>
      <c r="Z1141" s="8"/>
    </row>
    <row r="1142">
      <c r="A1142" s="8"/>
      <c r="B1142" s="8"/>
      <c r="C1142" s="8"/>
      <c r="D1142" s="8"/>
      <c r="E1142" s="8"/>
      <c r="F1142" s="8"/>
      <c r="G1142" s="8"/>
      <c r="H1142" s="8"/>
      <c r="I1142" s="8"/>
      <c r="J1142" s="8"/>
      <c r="K1142" s="8"/>
      <c r="L1142" s="8"/>
      <c r="M1142" s="8"/>
      <c r="N1142" s="8"/>
      <c r="O1142" s="8"/>
      <c r="P1142" s="8"/>
      <c r="Q1142" s="8"/>
      <c r="R1142" s="8"/>
      <c r="S1142" s="8"/>
      <c r="T1142" s="8"/>
      <c r="U1142" s="8"/>
      <c r="V1142" s="8"/>
      <c r="W1142" s="8"/>
      <c r="X1142" s="8"/>
      <c r="Y1142" s="8"/>
      <c r="Z1142" s="8"/>
    </row>
    <row r="1143">
      <c r="A1143" s="8"/>
      <c r="B1143" s="8"/>
      <c r="C1143" s="8"/>
      <c r="D1143" s="8"/>
      <c r="E1143" s="8"/>
      <c r="F1143" s="8"/>
      <c r="G1143" s="8"/>
      <c r="H1143" s="8"/>
      <c r="I1143" s="8"/>
      <c r="J1143" s="8"/>
      <c r="K1143" s="8"/>
      <c r="L1143" s="8"/>
      <c r="M1143" s="8"/>
      <c r="N1143" s="8"/>
      <c r="O1143" s="8"/>
      <c r="P1143" s="8"/>
      <c r="Q1143" s="8"/>
      <c r="R1143" s="8"/>
      <c r="S1143" s="8"/>
      <c r="T1143" s="8"/>
      <c r="U1143" s="8"/>
      <c r="V1143" s="8"/>
      <c r="W1143" s="8"/>
      <c r="X1143" s="8"/>
      <c r="Y1143" s="8"/>
      <c r="Z1143" s="8"/>
    </row>
  </sheetData>
  <mergeCells count="2">
    <mergeCell ref="M2:N6"/>
    <mergeCell ref="B185:F185"/>
  </mergeCells>
  <dataValidations>
    <dataValidation type="list" allowBlank="1" showErrorMessage="1" sqref="C2">
      <formula1>Lookups!$A$3:$A$47</formula1>
    </dataValidation>
  </dataValidations>
  <hyperlinks>
    <hyperlink r:id="rId1" location="payment-schedule-for-financial-year-2024-25" ref="B210"/>
    <hyperlink r:id="rId2" ref="B220"/>
    <hyperlink r:id="rId3" ref="B250"/>
  </hyperlinks>
  <printOptions/>
  <pageMargins bottom="0.75" footer="0.0" header="0.0" left="0.7" right="0.7" top="0.75"/>
  <pageSetup orientation="landscape"/>
  <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pageSetUpPr/>
  </sheetPr>
  <sheetViews>
    <sheetView showGridLines="0" workbookViewId="0"/>
  </sheetViews>
  <sheetFormatPr customHeight="1" defaultColWidth="14.43" defaultRowHeight="15.0"/>
  <cols>
    <col customWidth="1" min="2" max="2" width="50.0"/>
    <col customWidth="1" min="3" max="3" width="19.86"/>
    <col customWidth="1" min="4" max="4" width="5.43"/>
    <col customWidth="1" min="5" max="5" width="11.71"/>
    <col customWidth="1" min="6" max="6" width="59.0"/>
  </cols>
  <sheetData>
    <row r="1">
      <c r="A1" s="1"/>
      <c r="B1" s="1"/>
      <c r="C1" s="1"/>
      <c r="D1" s="1"/>
      <c r="E1" s="1"/>
      <c r="F1" s="1"/>
      <c r="G1" s="1"/>
      <c r="H1" s="1"/>
      <c r="I1" s="1"/>
      <c r="J1" s="1"/>
      <c r="K1" s="1"/>
      <c r="L1" s="1"/>
      <c r="M1" s="1"/>
      <c r="N1" s="1"/>
      <c r="O1" s="1"/>
      <c r="P1" s="1"/>
      <c r="Q1" s="1"/>
      <c r="R1" s="1"/>
      <c r="S1" s="1"/>
      <c r="T1" s="1"/>
      <c r="U1" s="1"/>
      <c r="V1" s="1"/>
      <c r="W1" s="1"/>
      <c r="X1" s="1"/>
    </row>
    <row r="2">
      <c r="A2" s="1"/>
      <c r="B2" s="3" t="s">
        <v>220</v>
      </c>
      <c r="C2" s="1"/>
      <c r="D2" s="1"/>
      <c r="E2" s="1"/>
      <c r="F2" s="1"/>
      <c r="G2" s="1"/>
      <c r="H2" s="1"/>
      <c r="I2" s="1"/>
      <c r="J2" s="1"/>
      <c r="K2" s="1"/>
      <c r="L2" s="1"/>
      <c r="M2" s="1"/>
      <c r="N2" s="1"/>
      <c r="O2" s="1"/>
      <c r="P2" s="1"/>
      <c r="Q2" s="1"/>
      <c r="R2" s="1"/>
      <c r="S2" s="1"/>
      <c r="T2" s="1"/>
      <c r="U2" s="1"/>
      <c r="V2" s="1"/>
      <c r="W2" s="1"/>
      <c r="X2" s="1"/>
    </row>
    <row r="3">
      <c r="A3" s="1"/>
      <c r="B3" s="1"/>
      <c r="C3" s="1"/>
      <c r="D3" s="1"/>
      <c r="E3" s="1"/>
      <c r="F3" s="1"/>
      <c r="G3" s="1"/>
      <c r="H3" s="1"/>
      <c r="I3" s="1"/>
      <c r="J3" s="1"/>
      <c r="K3" s="1"/>
      <c r="L3" s="1"/>
      <c r="M3" s="1"/>
      <c r="N3" s="1"/>
      <c r="O3" s="1"/>
      <c r="P3" s="1"/>
      <c r="Q3" s="1"/>
      <c r="R3" s="1"/>
      <c r="S3" s="1"/>
      <c r="T3" s="1"/>
      <c r="U3" s="1"/>
      <c r="V3" s="1"/>
      <c r="W3" s="1"/>
      <c r="X3" s="1"/>
    </row>
    <row r="4">
      <c r="A4" s="1"/>
      <c r="B4" s="1" t="s">
        <v>221</v>
      </c>
      <c r="C4" s="24">
        <f>'Budget Summary'!F33</f>
        <v>2920340.91</v>
      </c>
      <c r="D4" s="1"/>
      <c r="E4" s="1" t="s">
        <v>222</v>
      </c>
      <c r="F4" s="1" t="s">
        <v>223</v>
      </c>
      <c r="G4" s="1"/>
      <c r="H4" s="1"/>
      <c r="I4" s="1"/>
      <c r="J4" s="1"/>
      <c r="K4" s="1"/>
      <c r="L4" s="1"/>
      <c r="M4" s="1"/>
      <c r="N4" s="1"/>
      <c r="O4" s="1"/>
      <c r="P4" s="1"/>
      <c r="Q4" s="1"/>
      <c r="R4" s="1"/>
      <c r="S4" s="1"/>
      <c r="T4" s="1"/>
      <c r="U4" s="1"/>
      <c r="V4" s="1"/>
      <c r="W4" s="1"/>
      <c r="X4" s="1"/>
    </row>
    <row r="5">
      <c r="A5" s="1"/>
      <c r="B5" s="1" t="s">
        <v>224</v>
      </c>
      <c r="C5" s="24">
        <f>'Budget Summary'!F170</f>
        <v>0</v>
      </c>
      <c r="D5" s="1"/>
      <c r="E5" s="1" t="s">
        <v>222</v>
      </c>
      <c r="F5" s="1" t="s">
        <v>223</v>
      </c>
      <c r="G5" s="1"/>
      <c r="H5" s="1"/>
      <c r="I5" s="1"/>
      <c r="J5" s="1"/>
      <c r="K5" s="1"/>
      <c r="L5" s="1"/>
      <c r="M5" s="1"/>
      <c r="N5" s="1"/>
      <c r="O5" s="1"/>
      <c r="P5" s="1"/>
      <c r="Q5" s="1"/>
      <c r="R5" s="1"/>
      <c r="S5" s="1"/>
      <c r="T5" s="1"/>
      <c r="U5" s="1"/>
      <c r="V5" s="1"/>
      <c r="W5" s="1"/>
      <c r="X5" s="1"/>
    </row>
    <row r="6">
      <c r="A6" s="1"/>
      <c r="B6" s="1" t="s">
        <v>225</v>
      </c>
      <c r="C6" s="24">
        <f>'Budget Summary'!F182+'Budget Summary'!F186</f>
        <v>0</v>
      </c>
      <c r="D6" s="1"/>
      <c r="E6" s="1" t="s">
        <v>222</v>
      </c>
      <c r="F6" s="1" t="s">
        <v>223</v>
      </c>
      <c r="G6" s="1"/>
      <c r="H6" s="1"/>
      <c r="I6" s="1"/>
      <c r="J6" s="1"/>
      <c r="K6" s="1"/>
      <c r="L6" s="1"/>
      <c r="M6" s="1"/>
      <c r="N6" s="1"/>
      <c r="O6" s="1"/>
      <c r="P6" s="1"/>
      <c r="Q6" s="1"/>
      <c r="R6" s="1"/>
      <c r="S6" s="1"/>
      <c r="T6" s="1"/>
      <c r="U6" s="1"/>
      <c r="V6" s="1"/>
      <c r="W6" s="1"/>
      <c r="X6" s="1"/>
    </row>
    <row r="7">
      <c r="A7" s="1"/>
      <c r="B7" s="1" t="s">
        <v>226</v>
      </c>
      <c r="C7" s="24">
        <f>'Budget Summary'!F198-C6</f>
        <v>0</v>
      </c>
      <c r="D7" s="1"/>
      <c r="E7" s="1" t="s">
        <v>227</v>
      </c>
      <c r="F7" s="1" t="s">
        <v>228</v>
      </c>
      <c r="G7" s="1"/>
      <c r="H7" s="1"/>
      <c r="I7" s="1"/>
      <c r="J7" s="1"/>
      <c r="K7" s="1"/>
      <c r="L7" s="1"/>
      <c r="M7" s="1"/>
      <c r="N7" s="1"/>
      <c r="O7" s="1"/>
      <c r="P7" s="1"/>
      <c r="Q7" s="1"/>
      <c r="R7" s="1"/>
      <c r="S7" s="1"/>
      <c r="T7" s="1"/>
      <c r="U7" s="1"/>
      <c r="V7" s="1"/>
      <c r="W7" s="1"/>
      <c r="X7" s="1"/>
    </row>
    <row r="8">
      <c r="A8" s="1"/>
      <c r="B8" s="1" t="s">
        <v>152</v>
      </c>
      <c r="C8" s="24">
        <f>'Budget Summary'!F216</f>
        <v>0</v>
      </c>
      <c r="D8" s="1"/>
      <c r="E8" s="1" t="s">
        <v>229</v>
      </c>
      <c r="F8" s="1" t="s">
        <v>230</v>
      </c>
      <c r="G8" s="1"/>
      <c r="H8" s="1"/>
      <c r="I8" s="1"/>
      <c r="J8" s="1"/>
      <c r="K8" s="1"/>
      <c r="L8" s="1"/>
      <c r="M8" s="1"/>
      <c r="N8" s="1"/>
      <c r="O8" s="1"/>
      <c r="P8" s="1"/>
      <c r="Q8" s="1"/>
      <c r="R8" s="1"/>
      <c r="S8" s="1"/>
      <c r="T8" s="1"/>
      <c r="U8" s="1"/>
      <c r="V8" s="1"/>
      <c r="W8" s="1"/>
      <c r="X8" s="1"/>
    </row>
    <row r="9">
      <c r="A9" s="1"/>
      <c r="B9" s="1" t="s">
        <v>159</v>
      </c>
      <c r="C9" s="24">
        <f>'Budget Summary'!F245</f>
        <v>0</v>
      </c>
      <c r="D9" s="1"/>
      <c r="E9" s="56" t="s">
        <v>231</v>
      </c>
      <c r="F9" s="56" t="s">
        <v>232</v>
      </c>
      <c r="G9" s="1"/>
      <c r="H9" s="1"/>
      <c r="I9" s="1"/>
      <c r="J9" s="1"/>
      <c r="K9" s="1"/>
      <c r="L9" s="1"/>
      <c r="M9" s="1"/>
      <c r="N9" s="1"/>
      <c r="O9" s="1"/>
      <c r="P9" s="1"/>
      <c r="Q9" s="1"/>
      <c r="R9" s="1"/>
      <c r="S9" s="1"/>
      <c r="T9" s="1"/>
      <c r="U9" s="1"/>
      <c r="V9" s="1"/>
      <c r="W9" s="1"/>
      <c r="X9" s="1"/>
    </row>
    <row r="10">
      <c r="A10" s="1"/>
      <c r="B10" s="1" t="s">
        <v>171</v>
      </c>
      <c r="C10" s="24">
        <f>'Budget Summary'!F261</f>
        <v>21535.83333</v>
      </c>
      <c r="D10" s="1"/>
      <c r="E10" s="56" t="s">
        <v>231</v>
      </c>
      <c r="F10" s="56" t="s">
        <v>232</v>
      </c>
      <c r="G10" s="1"/>
      <c r="H10" s="1"/>
      <c r="I10" s="1"/>
      <c r="J10" s="1"/>
      <c r="K10" s="1"/>
      <c r="L10" s="1"/>
      <c r="M10" s="1"/>
      <c r="N10" s="1"/>
      <c r="O10" s="1"/>
      <c r="P10" s="1"/>
      <c r="Q10" s="1"/>
      <c r="R10" s="1"/>
      <c r="S10" s="1"/>
      <c r="T10" s="1"/>
      <c r="U10" s="1"/>
      <c r="V10" s="1"/>
      <c r="W10" s="1"/>
      <c r="X10" s="1"/>
    </row>
    <row r="11">
      <c r="A11" s="1"/>
      <c r="B11" s="1" t="s">
        <v>178</v>
      </c>
      <c r="C11" s="24">
        <f>'Budget Summary'!F263</f>
        <v>0</v>
      </c>
      <c r="D11" s="1"/>
      <c r="E11" s="1" t="s">
        <v>233</v>
      </c>
      <c r="F11" s="1" t="s">
        <v>234</v>
      </c>
      <c r="G11" s="1"/>
      <c r="H11" s="1"/>
      <c r="I11" s="1"/>
      <c r="J11" s="1"/>
      <c r="K11" s="1"/>
      <c r="L11" s="1"/>
      <c r="M11" s="1"/>
      <c r="N11" s="1"/>
      <c r="O11" s="1"/>
      <c r="P11" s="1"/>
      <c r="Q11" s="1"/>
      <c r="R11" s="1"/>
      <c r="S11" s="1"/>
      <c r="T11" s="1"/>
      <c r="U11" s="1"/>
      <c r="V11" s="1"/>
      <c r="W11" s="1"/>
      <c r="X11" s="1"/>
    </row>
    <row r="12">
      <c r="A12" s="1"/>
      <c r="B12" s="1"/>
      <c r="C12" s="1"/>
      <c r="D12" s="1"/>
      <c r="E12" s="1"/>
      <c r="F12" s="1"/>
      <c r="G12" s="1"/>
      <c r="H12" s="1"/>
      <c r="I12" s="1"/>
      <c r="J12" s="1"/>
      <c r="K12" s="1"/>
      <c r="L12" s="1"/>
      <c r="M12" s="1"/>
      <c r="N12" s="1"/>
      <c r="O12" s="1"/>
      <c r="P12" s="1"/>
      <c r="Q12" s="1"/>
      <c r="R12" s="1"/>
      <c r="S12" s="1"/>
      <c r="T12" s="1"/>
      <c r="U12" s="1"/>
      <c r="V12" s="1"/>
      <c r="W12" s="1"/>
      <c r="X12" s="1"/>
    </row>
    <row r="13">
      <c r="A13" s="1"/>
      <c r="B13" s="3" t="s">
        <v>235</v>
      </c>
      <c r="C13" s="1"/>
      <c r="D13" s="1"/>
      <c r="E13" s="1"/>
      <c r="F13" s="1"/>
      <c r="G13" s="1"/>
      <c r="H13" s="1"/>
      <c r="I13" s="1"/>
      <c r="J13" s="1"/>
      <c r="K13" s="1"/>
      <c r="L13" s="1"/>
      <c r="M13" s="1"/>
      <c r="N13" s="1"/>
      <c r="O13" s="1"/>
      <c r="P13" s="1"/>
      <c r="Q13" s="1"/>
      <c r="R13" s="1"/>
      <c r="S13" s="1"/>
      <c r="T13" s="1"/>
      <c r="U13" s="1"/>
      <c r="V13" s="1"/>
      <c r="W13" s="1"/>
      <c r="X13" s="1"/>
    </row>
    <row r="14">
      <c r="A14" s="1"/>
      <c r="B14" s="1"/>
      <c r="C14" s="1"/>
      <c r="D14" s="1"/>
      <c r="E14" s="1"/>
      <c r="F14" s="1"/>
      <c r="G14" s="1"/>
      <c r="H14" s="1"/>
      <c r="I14" s="1"/>
      <c r="J14" s="1"/>
      <c r="K14" s="1"/>
      <c r="L14" s="1"/>
      <c r="M14" s="1"/>
      <c r="N14" s="1"/>
      <c r="O14" s="1"/>
      <c r="P14" s="1"/>
      <c r="Q14" s="1"/>
      <c r="R14" s="1"/>
      <c r="S14" s="1"/>
      <c r="T14" s="1"/>
      <c r="U14" s="1"/>
      <c r="V14" s="1"/>
      <c r="W14" s="1"/>
      <c r="X14" s="1"/>
    </row>
    <row r="15">
      <c r="A15" s="1"/>
      <c r="B15" s="1" t="s">
        <v>236</v>
      </c>
      <c r="C15" s="24">
        <f>'Budget Summary'!F27</f>
        <v>50091</v>
      </c>
      <c r="D15" s="1"/>
      <c r="E15" s="1" t="s">
        <v>237</v>
      </c>
      <c r="F15" s="1" t="s">
        <v>238</v>
      </c>
      <c r="G15" s="1"/>
      <c r="H15" s="1"/>
      <c r="I15" s="1"/>
      <c r="J15" s="1"/>
      <c r="K15" s="1"/>
      <c r="L15" s="1"/>
      <c r="M15" s="1"/>
      <c r="N15" s="1"/>
      <c r="O15" s="1"/>
      <c r="P15" s="1"/>
      <c r="Q15" s="1"/>
      <c r="R15" s="1"/>
      <c r="S15" s="1"/>
      <c r="T15" s="1"/>
      <c r="U15" s="1"/>
      <c r="V15" s="1"/>
      <c r="W15" s="1"/>
      <c r="X15" s="1"/>
    </row>
    <row r="16">
      <c r="A16" s="1"/>
      <c r="B16" s="1" t="s">
        <v>79</v>
      </c>
      <c r="C16" s="24">
        <f>'Budget Summary'!F59</f>
        <v>5012.34</v>
      </c>
      <c r="D16" s="1"/>
      <c r="E16" s="1" t="s">
        <v>239</v>
      </c>
      <c r="F16" s="1" t="s">
        <v>240</v>
      </c>
      <c r="G16" s="1"/>
      <c r="H16" s="1"/>
      <c r="I16" s="1"/>
      <c r="J16" s="1"/>
      <c r="K16" s="1"/>
      <c r="L16" s="1"/>
      <c r="M16" s="1"/>
      <c r="N16" s="1"/>
      <c r="O16" s="1"/>
      <c r="P16" s="1"/>
      <c r="Q16" s="1"/>
      <c r="R16" s="1"/>
      <c r="S16" s="1"/>
      <c r="T16" s="1"/>
      <c r="U16" s="1"/>
      <c r="V16" s="1"/>
      <c r="W16" s="1"/>
      <c r="X16" s="1"/>
    </row>
    <row r="17">
      <c r="A17" s="1"/>
      <c r="B17" s="1" t="s">
        <v>80</v>
      </c>
      <c r="C17" s="24">
        <f>'Budget Summary'!F60</f>
        <v>8514.72</v>
      </c>
      <c r="D17" s="1"/>
      <c r="E17" s="1" t="s">
        <v>241</v>
      </c>
      <c r="F17" s="1" t="s">
        <v>242</v>
      </c>
      <c r="G17" s="1"/>
      <c r="H17" s="1"/>
      <c r="I17" s="1"/>
      <c r="J17" s="1"/>
      <c r="K17" s="1"/>
      <c r="L17" s="1"/>
      <c r="M17" s="1"/>
      <c r="N17" s="1"/>
      <c r="O17" s="1"/>
      <c r="P17" s="1"/>
      <c r="Q17" s="1"/>
      <c r="R17" s="1"/>
      <c r="S17" s="1"/>
      <c r="T17" s="1"/>
      <c r="U17" s="1"/>
      <c r="V17" s="1"/>
      <c r="W17" s="1"/>
      <c r="X17" s="1"/>
    </row>
    <row r="18">
      <c r="A18" s="1"/>
      <c r="B18" s="1" t="s">
        <v>81</v>
      </c>
      <c r="C18" s="24">
        <f>'Budget Summary'!F61</f>
        <v>1409.46</v>
      </c>
      <c r="D18" s="1"/>
      <c r="E18" s="1" t="s">
        <v>243</v>
      </c>
      <c r="F18" s="1" t="s">
        <v>244</v>
      </c>
      <c r="G18" s="1"/>
      <c r="H18" s="1"/>
      <c r="I18" s="1"/>
      <c r="J18" s="1"/>
      <c r="K18" s="1"/>
      <c r="L18" s="1"/>
      <c r="M18" s="1"/>
      <c r="N18" s="1"/>
      <c r="O18" s="1"/>
      <c r="P18" s="1"/>
      <c r="Q18" s="1"/>
      <c r="R18" s="1"/>
      <c r="S18" s="1"/>
      <c r="T18" s="1"/>
      <c r="U18" s="1"/>
      <c r="V18" s="1"/>
      <c r="W18" s="1"/>
      <c r="X18" s="1"/>
    </row>
    <row r="19">
      <c r="A19" s="1"/>
      <c r="B19" s="1" t="s">
        <v>82</v>
      </c>
      <c r="C19" s="24">
        <f>'Budget Summary'!F62</f>
        <v>1259.34</v>
      </c>
      <c r="D19" s="1"/>
      <c r="E19" s="1" t="s">
        <v>245</v>
      </c>
      <c r="F19" s="1" t="s">
        <v>246</v>
      </c>
      <c r="G19" s="1"/>
      <c r="H19" s="1"/>
      <c r="I19" s="1"/>
      <c r="J19" s="1"/>
      <c r="K19" s="1"/>
      <c r="L19" s="1"/>
      <c r="M19" s="1"/>
      <c r="N19" s="1"/>
      <c r="O19" s="1"/>
      <c r="P19" s="1"/>
      <c r="Q19" s="1"/>
      <c r="R19" s="1"/>
      <c r="S19" s="1"/>
      <c r="T19" s="1"/>
      <c r="U19" s="1"/>
      <c r="V19" s="1"/>
      <c r="W19" s="1"/>
      <c r="X19" s="1"/>
    </row>
    <row r="20">
      <c r="A20" s="1"/>
      <c r="B20" s="1" t="s">
        <v>83</v>
      </c>
      <c r="C20" s="24">
        <f>'Budget Summary'!F63</f>
        <v>3669.6</v>
      </c>
      <c r="D20" s="1"/>
      <c r="E20" s="1" t="s">
        <v>247</v>
      </c>
      <c r="F20" s="1" t="s">
        <v>248</v>
      </c>
      <c r="G20" s="1"/>
      <c r="H20" s="1"/>
      <c r="I20" s="1"/>
      <c r="J20" s="1"/>
      <c r="K20" s="1"/>
      <c r="L20" s="1"/>
      <c r="M20" s="1"/>
      <c r="N20" s="1"/>
      <c r="O20" s="1"/>
      <c r="P20" s="1"/>
      <c r="Q20" s="1"/>
      <c r="R20" s="1"/>
      <c r="S20" s="1"/>
      <c r="T20" s="1"/>
      <c r="U20" s="1"/>
      <c r="V20" s="1"/>
      <c r="W20" s="1"/>
      <c r="X20" s="1"/>
    </row>
    <row r="21">
      <c r="A21" s="1"/>
      <c r="B21" s="1" t="s">
        <v>84</v>
      </c>
      <c r="C21" s="24">
        <f>'Budget Summary'!F64</f>
        <v>10883.7</v>
      </c>
      <c r="D21" s="1"/>
      <c r="E21" s="1" t="s">
        <v>241</v>
      </c>
      <c r="F21" s="1" t="s">
        <v>242</v>
      </c>
      <c r="G21" s="1"/>
      <c r="H21" s="1"/>
      <c r="I21" s="1"/>
      <c r="J21" s="1"/>
      <c r="K21" s="1"/>
      <c r="L21" s="1"/>
      <c r="M21" s="1"/>
      <c r="N21" s="1"/>
      <c r="O21" s="1"/>
      <c r="P21" s="1"/>
      <c r="Q21" s="1"/>
      <c r="R21" s="1"/>
      <c r="S21" s="1"/>
      <c r="T21" s="1"/>
      <c r="U21" s="1"/>
      <c r="V21" s="1"/>
      <c r="W21" s="1"/>
      <c r="X21" s="1"/>
    </row>
    <row r="22">
      <c r="A22" s="1"/>
      <c r="B22" s="1"/>
      <c r="C22" s="1"/>
      <c r="D22" s="1"/>
      <c r="E22" s="1"/>
      <c r="F22" s="1"/>
      <c r="G22" s="1"/>
      <c r="H22" s="1"/>
      <c r="I22" s="1"/>
      <c r="J22" s="1"/>
      <c r="K22" s="1"/>
      <c r="L22" s="1"/>
      <c r="M22" s="1"/>
      <c r="N22" s="1"/>
      <c r="O22" s="1"/>
      <c r="P22" s="1"/>
      <c r="Q22" s="1"/>
      <c r="R22" s="1"/>
      <c r="S22" s="1"/>
      <c r="T22" s="1"/>
      <c r="U22" s="1"/>
      <c r="V22" s="1"/>
      <c r="W22" s="1"/>
      <c r="X22" s="1"/>
    </row>
    <row r="23">
      <c r="A23" s="1"/>
      <c r="B23" s="1"/>
      <c r="C23" s="1"/>
      <c r="D23" s="1"/>
      <c r="E23" s="1"/>
      <c r="F23" s="1"/>
      <c r="G23" s="1"/>
      <c r="H23" s="1"/>
      <c r="I23" s="1"/>
      <c r="J23" s="1"/>
      <c r="K23" s="1"/>
      <c r="L23" s="1"/>
      <c r="M23" s="1"/>
      <c r="N23" s="1"/>
      <c r="O23" s="1"/>
      <c r="P23" s="1"/>
      <c r="Q23" s="1"/>
      <c r="R23" s="1"/>
      <c r="S23" s="1"/>
      <c r="T23" s="1"/>
      <c r="U23" s="1"/>
      <c r="V23" s="1"/>
      <c r="W23" s="1"/>
      <c r="X23" s="1"/>
    </row>
    <row r="24">
      <c r="A24" s="1"/>
      <c r="B24" s="1"/>
      <c r="C24" s="1"/>
      <c r="D24" s="1"/>
      <c r="E24" s="1"/>
      <c r="F24" s="1"/>
      <c r="G24" s="1"/>
      <c r="H24" s="1"/>
      <c r="I24" s="1"/>
      <c r="J24" s="1"/>
      <c r="K24" s="1"/>
      <c r="L24" s="1"/>
      <c r="M24" s="1"/>
      <c r="N24" s="1"/>
      <c r="O24" s="1"/>
      <c r="P24" s="1"/>
      <c r="Q24" s="1"/>
      <c r="R24" s="1"/>
      <c r="S24" s="1"/>
      <c r="T24" s="1"/>
      <c r="U24" s="1"/>
      <c r="V24" s="1"/>
      <c r="W24" s="1"/>
      <c r="X24" s="1"/>
    </row>
    <row r="25">
      <c r="A25" s="1"/>
      <c r="B25" s="1"/>
      <c r="C25" s="1"/>
      <c r="D25" s="1"/>
      <c r="E25" s="1"/>
      <c r="F25" s="1"/>
      <c r="G25" s="1"/>
      <c r="H25" s="1"/>
      <c r="I25" s="1"/>
      <c r="J25" s="1"/>
      <c r="K25" s="1"/>
      <c r="L25" s="1"/>
      <c r="M25" s="1"/>
      <c r="N25" s="1"/>
      <c r="O25" s="1"/>
      <c r="P25" s="1"/>
      <c r="Q25" s="1"/>
      <c r="R25" s="1"/>
      <c r="S25" s="1"/>
      <c r="T25" s="1"/>
      <c r="U25" s="1"/>
      <c r="V25" s="1"/>
      <c r="W25" s="1"/>
      <c r="X25" s="1"/>
    </row>
    <row r="26">
      <c r="A26" s="1"/>
      <c r="B26" s="1"/>
      <c r="C26" s="1"/>
      <c r="D26" s="1"/>
      <c r="E26" s="1"/>
      <c r="F26" s="1"/>
      <c r="G26" s="1"/>
      <c r="H26" s="1"/>
      <c r="I26" s="1"/>
      <c r="J26" s="1"/>
      <c r="K26" s="1"/>
      <c r="L26" s="1"/>
      <c r="M26" s="1"/>
      <c r="N26" s="1"/>
      <c r="O26" s="1"/>
      <c r="P26" s="1"/>
      <c r="Q26" s="1"/>
      <c r="R26" s="1"/>
      <c r="S26" s="1"/>
      <c r="T26" s="1"/>
      <c r="U26" s="1"/>
      <c r="V26" s="1"/>
      <c r="W26" s="1"/>
      <c r="X26" s="1"/>
    </row>
    <row r="27">
      <c r="A27" s="1"/>
      <c r="B27" s="1"/>
      <c r="C27" s="1"/>
      <c r="D27" s="1"/>
      <c r="E27" s="1"/>
      <c r="F27" s="1"/>
      <c r="G27" s="1"/>
      <c r="H27" s="1"/>
      <c r="I27" s="1"/>
      <c r="J27" s="1"/>
      <c r="K27" s="1"/>
      <c r="L27" s="1"/>
      <c r="M27" s="1"/>
      <c r="N27" s="1"/>
      <c r="O27" s="1"/>
      <c r="P27" s="1"/>
      <c r="Q27" s="1"/>
      <c r="R27" s="1"/>
      <c r="S27" s="1"/>
      <c r="T27" s="1"/>
      <c r="U27" s="1"/>
      <c r="V27" s="1"/>
      <c r="W27" s="1"/>
      <c r="X27" s="1"/>
    </row>
    <row r="28">
      <c r="A28" s="1"/>
      <c r="B28" s="1"/>
      <c r="C28" s="1"/>
      <c r="D28" s="1"/>
      <c r="E28" s="1"/>
      <c r="F28" s="1"/>
      <c r="G28" s="1"/>
      <c r="H28" s="1"/>
      <c r="I28" s="1"/>
      <c r="J28" s="1"/>
      <c r="K28" s="1"/>
      <c r="L28" s="1"/>
      <c r="M28" s="1"/>
      <c r="N28" s="1"/>
      <c r="O28" s="1"/>
      <c r="P28" s="1"/>
      <c r="Q28" s="1"/>
      <c r="R28" s="1"/>
      <c r="S28" s="1"/>
      <c r="T28" s="1"/>
      <c r="U28" s="1"/>
      <c r="V28" s="1"/>
      <c r="W28" s="1"/>
      <c r="X28" s="1"/>
    </row>
    <row r="29">
      <c r="A29" s="1"/>
      <c r="B29" s="1"/>
      <c r="C29" s="1"/>
      <c r="D29" s="1"/>
      <c r="E29" s="1"/>
      <c r="F29" s="1"/>
      <c r="G29" s="1"/>
      <c r="H29" s="1"/>
      <c r="I29" s="1"/>
      <c r="J29" s="1"/>
      <c r="K29" s="1"/>
      <c r="L29" s="1"/>
      <c r="M29" s="1"/>
      <c r="N29" s="1"/>
      <c r="O29" s="1"/>
      <c r="P29" s="1"/>
      <c r="Q29" s="1"/>
      <c r="R29" s="1"/>
      <c r="S29" s="1"/>
      <c r="T29" s="1"/>
      <c r="U29" s="1"/>
      <c r="V29" s="1"/>
      <c r="W29" s="1"/>
      <c r="X29" s="1"/>
    </row>
    <row r="30">
      <c r="A30" s="1"/>
      <c r="B30" s="1"/>
      <c r="C30" s="1"/>
      <c r="D30" s="1"/>
      <c r="E30" s="1"/>
      <c r="F30" s="1"/>
      <c r="G30" s="1"/>
      <c r="H30" s="1"/>
      <c r="I30" s="1"/>
      <c r="J30" s="1"/>
      <c r="K30" s="1"/>
      <c r="L30" s="1"/>
      <c r="M30" s="1"/>
      <c r="N30" s="1"/>
      <c r="O30" s="1"/>
      <c r="P30" s="1"/>
      <c r="Q30" s="1"/>
      <c r="R30" s="1"/>
      <c r="S30" s="1"/>
      <c r="T30" s="1"/>
      <c r="U30" s="1"/>
      <c r="V30" s="1"/>
      <c r="W30" s="1"/>
      <c r="X30" s="1"/>
    </row>
    <row r="31">
      <c r="A31" s="1"/>
      <c r="B31" s="1"/>
      <c r="C31" s="1"/>
      <c r="D31" s="1"/>
      <c r="E31" s="1"/>
      <c r="F31" s="1"/>
      <c r="G31" s="1"/>
      <c r="H31" s="1"/>
      <c r="I31" s="1"/>
      <c r="J31" s="1"/>
      <c r="K31" s="1"/>
      <c r="L31" s="1"/>
      <c r="M31" s="1"/>
      <c r="N31" s="1"/>
      <c r="O31" s="1"/>
      <c r="P31" s="1"/>
      <c r="Q31" s="1"/>
      <c r="R31" s="1"/>
      <c r="S31" s="1"/>
      <c r="T31" s="1"/>
      <c r="U31" s="1"/>
      <c r="V31" s="1"/>
      <c r="W31" s="1"/>
      <c r="X31" s="1"/>
    </row>
    <row r="32">
      <c r="A32" s="1"/>
      <c r="B32" s="1"/>
      <c r="C32" s="1"/>
      <c r="D32" s="1"/>
      <c r="E32" s="1"/>
      <c r="F32" s="1"/>
      <c r="G32" s="1"/>
      <c r="H32" s="1"/>
      <c r="I32" s="1"/>
      <c r="J32" s="1"/>
      <c r="K32" s="1"/>
      <c r="L32" s="1"/>
      <c r="M32" s="1"/>
      <c r="N32" s="1"/>
      <c r="O32" s="1"/>
      <c r="P32" s="1"/>
      <c r="Q32" s="1"/>
      <c r="R32" s="1"/>
      <c r="S32" s="1"/>
      <c r="T32" s="1"/>
      <c r="U32" s="1"/>
      <c r="V32" s="1"/>
      <c r="W32" s="1"/>
      <c r="X32" s="1"/>
    </row>
    <row r="33">
      <c r="A33" s="1"/>
      <c r="B33" s="1"/>
      <c r="C33" s="1"/>
      <c r="D33" s="1"/>
      <c r="E33" s="1"/>
      <c r="F33" s="1"/>
      <c r="G33" s="1"/>
      <c r="H33" s="1"/>
      <c r="I33" s="1"/>
      <c r="J33" s="1"/>
      <c r="K33" s="1"/>
      <c r="L33" s="1"/>
      <c r="M33" s="1"/>
      <c r="N33" s="1"/>
      <c r="O33" s="1"/>
      <c r="P33" s="1"/>
      <c r="Q33" s="1"/>
      <c r="R33" s="1"/>
      <c r="S33" s="1"/>
      <c r="T33" s="1"/>
      <c r="U33" s="1"/>
      <c r="V33" s="1"/>
      <c r="W33" s="1"/>
      <c r="X33" s="1"/>
    </row>
    <row r="34">
      <c r="A34" s="1"/>
      <c r="B34" s="1"/>
      <c r="C34" s="1"/>
      <c r="D34" s="1"/>
      <c r="E34" s="1"/>
      <c r="F34" s="1"/>
      <c r="G34" s="1"/>
      <c r="H34" s="1"/>
      <c r="I34" s="1"/>
      <c r="J34" s="1"/>
      <c r="K34" s="1"/>
      <c r="L34" s="1"/>
      <c r="M34" s="1"/>
      <c r="N34" s="1"/>
      <c r="O34" s="1"/>
      <c r="P34" s="1"/>
      <c r="Q34" s="1"/>
      <c r="R34" s="1"/>
      <c r="S34" s="1"/>
      <c r="T34" s="1"/>
      <c r="U34" s="1"/>
      <c r="V34" s="1"/>
      <c r="W34" s="1"/>
      <c r="X34" s="1"/>
    </row>
    <row r="35">
      <c r="A35" s="1"/>
      <c r="B35" s="1"/>
      <c r="C35" s="1"/>
      <c r="D35" s="1"/>
      <c r="E35" s="1"/>
      <c r="F35" s="1"/>
      <c r="G35" s="1"/>
      <c r="H35" s="1"/>
      <c r="I35" s="1"/>
      <c r="J35" s="1"/>
      <c r="K35" s="1"/>
      <c r="L35" s="1"/>
      <c r="M35" s="1"/>
      <c r="N35" s="1"/>
      <c r="O35" s="1"/>
      <c r="P35" s="1"/>
      <c r="Q35" s="1"/>
      <c r="R35" s="1"/>
      <c r="S35" s="1"/>
      <c r="T35" s="1"/>
      <c r="U35" s="1"/>
      <c r="V35" s="1"/>
      <c r="W35" s="1"/>
      <c r="X35" s="1"/>
    </row>
    <row r="36">
      <c r="A36" s="1"/>
      <c r="B36" s="1"/>
      <c r="C36" s="1"/>
      <c r="D36" s="1"/>
      <c r="E36" s="1"/>
      <c r="F36" s="1"/>
      <c r="G36" s="1"/>
      <c r="H36" s="1"/>
      <c r="I36" s="1"/>
      <c r="J36" s="1"/>
      <c r="K36" s="1"/>
      <c r="L36" s="1"/>
      <c r="M36" s="1"/>
      <c r="N36" s="1"/>
      <c r="O36" s="1"/>
      <c r="P36" s="1"/>
      <c r="Q36" s="1"/>
      <c r="R36" s="1"/>
      <c r="S36" s="1"/>
      <c r="T36" s="1"/>
      <c r="U36" s="1"/>
      <c r="V36" s="1"/>
      <c r="W36" s="1"/>
      <c r="X36" s="1"/>
    </row>
    <row r="37">
      <c r="A37" s="1"/>
      <c r="B37" s="1"/>
      <c r="C37" s="1"/>
      <c r="D37" s="1"/>
      <c r="E37" s="1"/>
      <c r="F37" s="1"/>
      <c r="G37" s="1"/>
      <c r="H37" s="1"/>
      <c r="I37" s="1"/>
      <c r="J37" s="1"/>
      <c r="K37" s="1"/>
      <c r="L37" s="1"/>
      <c r="M37" s="1"/>
      <c r="N37" s="1"/>
      <c r="O37" s="1"/>
      <c r="P37" s="1"/>
      <c r="Q37" s="1"/>
      <c r="R37" s="1"/>
      <c r="S37" s="1"/>
      <c r="T37" s="1"/>
      <c r="U37" s="1"/>
      <c r="V37" s="1"/>
      <c r="W37" s="1"/>
      <c r="X37" s="1"/>
    </row>
    <row r="38">
      <c r="A38" s="1"/>
      <c r="B38" s="1"/>
      <c r="C38" s="1"/>
      <c r="D38" s="1"/>
      <c r="E38" s="1"/>
      <c r="F38" s="1"/>
      <c r="G38" s="1"/>
      <c r="H38" s="1"/>
      <c r="I38" s="1"/>
      <c r="J38" s="1"/>
      <c r="K38" s="1"/>
      <c r="L38" s="1"/>
      <c r="M38" s="1"/>
      <c r="N38" s="1"/>
      <c r="O38" s="1"/>
      <c r="P38" s="1"/>
      <c r="Q38" s="1"/>
      <c r="R38" s="1"/>
      <c r="S38" s="1"/>
      <c r="T38" s="1"/>
      <c r="U38" s="1"/>
      <c r="V38" s="1"/>
      <c r="W38" s="1"/>
      <c r="X38" s="1"/>
    </row>
    <row r="39">
      <c r="A39" s="1"/>
      <c r="B39" s="1"/>
      <c r="C39" s="1"/>
      <c r="D39" s="1"/>
      <c r="E39" s="1"/>
      <c r="F39" s="1"/>
      <c r="G39" s="1"/>
      <c r="H39" s="1"/>
      <c r="I39" s="1"/>
      <c r="J39" s="1"/>
      <c r="K39" s="1"/>
      <c r="L39" s="1"/>
      <c r="M39" s="1"/>
      <c r="N39" s="1"/>
      <c r="O39" s="1"/>
      <c r="P39" s="1"/>
      <c r="Q39" s="1"/>
      <c r="R39" s="1"/>
      <c r="S39" s="1"/>
      <c r="T39" s="1"/>
      <c r="U39" s="1"/>
      <c r="V39" s="1"/>
      <c r="W39" s="1"/>
      <c r="X39" s="1"/>
    </row>
    <row r="40">
      <c r="A40" s="1"/>
      <c r="B40" s="1"/>
      <c r="C40" s="1"/>
      <c r="D40" s="1"/>
      <c r="E40" s="1"/>
      <c r="F40" s="1"/>
      <c r="G40" s="1"/>
      <c r="H40" s="1"/>
      <c r="I40" s="1"/>
      <c r="J40" s="1"/>
      <c r="K40" s="1"/>
      <c r="L40" s="1"/>
      <c r="M40" s="1"/>
      <c r="N40" s="1"/>
      <c r="O40" s="1"/>
      <c r="P40" s="1"/>
      <c r="Q40" s="1"/>
      <c r="R40" s="1"/>
      <c r="S40" s="1"/>
      <c r="T40" s="1"/>
      <c r="U40" s="1"/>
      <c r="V40" s="1"/>
      <c r="W40" s="1"/>
      <c r="X40" s="1"/>
    </row>
    <row r="41">
      <c r="A41" s="1"/>
      <c r="B41" s="1"/>
      <c r="C41" s="1"/>
      <c r="D41" s="1"/>
      <c r="E41" s="1"/>
      <c r="F41" s="1"/>
      <c r="G41" s="1"/>
      <c r="H41" s="1"/>
      <c r="I41" s="1"/>
      <c r="J41" s="1"/>
      <c r="K41" s="1"/>
      <c r="L41" s="1"/>
      <c r="M41" s="1"/>
      <c r="N41" s="1"/>
      <c r="O41" s="1"/>
      <c r="P41" s="1"/>
      <c r="Q41" s="1"/>
      <c r="R41" s="1"/>
      <c r="S41" s="1"/>
      <c r="T41" s="1"/>
      <c r="U41" s="1"/>
      <c r="V41" s="1"/>
      <c r="W41" s="1"/>
      <c r="X41" s="1"/>
    </row>
    <row r="42">
      <c r="A42" s="1"/>
      <c r="B42" s="1"/>
      <c r="C42" s="1"/>
      <c r="D42" s="1"/>
      <c r="E42" s="1"/>
      <c r="F42" s="1"/>
      <c r="G42" s="1"/>
      <c r="H42" s="1"/>
      <c r="I42" s="1"/>
      <c r="J42" s="1"/>
      <c r="K42" s="1"/>
      <c r="L42" s="1"/>
      <c r="M42" s="1"/>
      <c r="N42" s="1"/>
      <c r="O42" s="1"/>
      <c r="P42" s="1"/>
      <c r="Q42" s="1"/>
      <c r="R42" s="1"/>
      <c r="S42" s="1"/>
      <c r="T42" s="1"/>
      <c r="U42" s="1"/>
      <c r="V42" s="1"/>
      <c r="W42" s="1"/>
      <c r="X42" s="1"/>
    </row>
    <row r="43">
      <c r="A43" s="1"/>
      <c r="B43" s="1"/>
      <c r="C43" s="1"/>
      <c r="D43" s="1"/>
      <c r="E43" s="1"/>
      <c r="F43" s="1"/>
      <c r="G43" s="1"/>
      <c r="H43" s="1"/>
      <c r="I43" s="1"/>
      <c r="J43" s="1"/>
      <c r="K43" s="1"/>
      <c r="L43" s="1"/>
      <c r="M43" s="1"/>
      <c r="N43" s="1"/>
      <c r="O43" s="1"/>
      <c r="P43" s="1"/>
      <c r="Q43" s="1"/>
      <c r="R43" s="1"/>
      <c r="S43" s="1"/>
      <c r="T43" s="1"/>
      <c r="U43" s="1"/>
      <c r="V43" s="1"/>
      <c r="W43" s="1"/>
      <c r="X43" s="1"/>
    </row>
    <row r="44">
      <c r="A44" s="1"/>
      <c r="B44" s="1"/>
      <c r="C44" s="1"/>
      <c r="D44" s="1"/>
      <c r="E44" s="1"/>
      <c r="F44" s="1"/>
      <c r="G44" s="1"/>
      <c r="H44" s="1"/>
      <c r="I44" s="1"/>
      <c r="J44" s="1"/>
      <c r="K44" s="1"/>
      <c r="L44" s="1"/>
      <c r="M44" s="1"/>
      <c r="N44" s="1"/>
      <c r="O44" s="1"/>
      <c r="P44" s="1"/>
      <c r="Q44" s="1"/>
      <c r="R44" s="1"/>
      <c r="S44" s="1"/>
      <c r="T44" s="1"/>
      <c r="U44" s="1"/>
      <c r="V44" s="1"/>
      <c r="W44" s="1"/>
      <c r="X44" s="1"/>
    </row>
    <row r="45">
      <c r="A45" s="1"/>
      <c r="B45" s="1"/>
      <c r="C45" s="1"/>
      <c r="D45" s="1"/>
      <c r="E45" s="1"/>
      <c r="F45" s="1"/>
      <c r="G45" s="1"/>
      <c r="H45" s="1"/>
      <c r="I45" s="1"/>
      <c r="J45" s="1"/>
      <c r="K45" s="1"/>
      <c r="L45" s="1"/>
      <c r="M45" s="1"/>
      <c r="N45" s="1"/>
      <c r="O45" s="1"/>
      <c r="P45" s="1"/>
      <c r="Q45" s="1"/>
      <c r="R45" s="1"/>
      <c r="S45" s="1"/>
      <c r="T45" s="1"/>
      <c r="U45" s="1"/>
      <c r="V45" s="1"/>
      <c r="W45" s="1"/>
      <c r="X45" s="1"/>
    </row>
    <row r="46">
      <c r="A46" s="1"/>
      <c r="B46" s="1"/>
      <c r="C46" s="1"/>
      <c r="D46" s="1"/>
      <c r="E46" s="1"/>
      <c r="F46" s="1"/>
      <c r="G46" s="1"/>
      <c r="H46" s="1"/>
      <c r="I46" s="1"/>
      <c r="J46" s="1"/>
      <c r="K46" s="1"/>
      <c r="L46" s="1"/>
      <c r="M46" s="1"/>
      <c r="N46" s="1"/>
      <c r="O46" s="1"/>
      <c r="P46" s="1"/>
      <c r="Q46" s="1"/>
      <c r="R46" s="1"/>
      <c r="S46" s="1"/>
      <c r="T46" s="1"/>
      <c r="U46" s="1"/>
      <c r="V46" s="1"/>
      <c r="W46" s="1"/>
      <c r="X46" s="1"/>
    </row>
    <row r="47">
      <c r="A47" s="1"/>
      <c r="B47" s="1"/>
      <c r="C47" s="1"/>
      <c r="D47" s="1"/>
      <c r="E47" s="1"/>
      <c r="F47" s="1"/>
      <c r="G47" s="1"/>
      <c r="H47" s="1"/>
      <c r="I47" s="1"/>
      <c r="J47" s="1"/>
      <c r="K47" s="1"/>
      <c r="L47" s="1"/>
      <c r="M47" s="1"/>
      <c r="N47" s="1"/>
      <c r="O47" s="1"/>
      <c r="P47" s="1"/>
      <c r="Q47" s="1"/>
      <c r="R47" s="1"/>
      <c r="S47" s="1"/>
      <c r="T47" s="1"/>
      <c r="U47" s="1"/>
      <c r="V47" s="1"/>
      <c r="W47" s="1"/>
      <c r="X47" s="1"/>
    </row>
    <row r="48">
      <c r="A48" s="1"/>
      <c r="B48" s="1"/>
      <c r="C48" s="1"/>
      <c r="D48" s="1"/>
      <c r="E48" s="1"/>
      <c r="F48" s="1"/>
      <c r="G48" s="1"/>
      <c r="H48" s="1"/>
      <c r="I48" s="1"/>
      <c r="J48" s="1"/>
      <c r="K48" s="1"/>
      <c r="L48" s="1"/>
      <c r="M48" s="1"/>
      <c r="N48" s="1"/>
      <c r="O48" s="1"/>
      <c r="P48" s="1"/>
      <c r="Q48" s="1"/>
      <c r="R48" s="1"/>
      <c r="S48" s="1"/>
      <c r="T48" s="1"/>
      <c r="U48" s="1"/>
      <c r="V48" s="1"/>
      <c r="W48" s="1"/>
      <c r="X48" s="1"/>
    </row>
    <row r="49">
      <c r="A49" s="1"/>
      <c r="B49" s="1"/>
      <c r="C49" s="1"/>
      <c r="D49" s="1"/>
      <c r="E49" s="1"/>
      <c r="F49" s="1"/>
      <c r="G49" s="1"/>
      <c r="H49" s="1"/>
      <c r="I49" s="1"/>
      <c r="J49" s="1"/>
      <c r="K49" s="1"/>
      <c r="L49" s="1"/>
      <c r="M49" s="1"/>
      <c r="N49" s="1"/>
      <c r="O49" s="1"/>
      <c r="P49" s="1"/>
      <c r="Q49" s="1"/>
      <c r="R49" s="1"/>
      <c r="S49" s="1"/>
      <c r="T49" s="1"/>
      <c r="U49" s="1"/>
      <c r="V49" s="1"/>
      <c r="W49" s="1"/>
      <c r="X49" s="1"/>
    </row>
    <row r="50">
      <c r="A50" s="1"/>
      <c r="B50" s="1"/>
      <c r="C50" s="1"/>
      <c r="D50" s="1"/>
      <c r="E50" s="1"/>
      <c r="F50" s="1"/>
      <c r="G50" s="1"/>
      <c r="H50" s="1"/>
      <c r="I50" s="1"/>
      <c r="J50" s="1"/>
      <c r="K50" s="1"/>
      <c r="L50" s="1"/>
      <c r="M50" s="1"/>
      <c r="N50" s="1"/>
      <c r="O50" s="1"/>
      <c r="P50" s="1"/>
      <c r="Q50" s="1"/>
      <c r="R50" s="1"/>
      <c r="S50" s="1"/>
      <c r="T50" s="1"/>
      <c r="U50" s="1"/>
      <c r="V50" s="1"/>
      <c r="W50" s="1"/>
      <c r="X50" s="1"/>
    </row>
    <row r="51">
      <c r="A51" s="1"/>
      <c r="B51" s="1"/>
      <c r="C51" s="1"/>
      <c r="D51" s="1"/>
      <c r="E51" s="1"/>
      <c r="F51" s="1"/>
      <c r="G51" s="1"/>
      <c r="H51" s="1"/>
      <c r="I51" s="1"/>
      <c r="J51" s="1"/>
      <c r="K51" s="1"/>
      <c r="L51" s="1"/>
      <c r="M51" s="1"/>
      <c r="N51" s="1"/>
      <c r="O51" s="1"/>
      <c r="P51" s="1"/>
      <c r="Q51" s="1"/>
      <c r="R51" s="1"/>
      <c r="S51" s="1"/>
      <c r="T51" s="1"/>
      <c r="U51" s="1"/>
      <c r="V51" s="1"/>
      <c r="W51" s="1"/>
      <c r="X51" s="1"/>
    </row>
    <row r="52">
      <c r="A52" s="1"/>
      <c r="B52" s="1"/>
      <c r="C52" s="1"/>
      <c r="D52" s="1"/>
      <c r="E52" s="1"/>
      <c r="F52" s="1"/>
      <c r="G52" s="1"/>
      <c r="H52" s="1"/>
      <c r="I52" s="1"/>
      <c r="J52" s="1"/>
      <c r="K52" s="1"/>
      <c r="L52" s="1"/>
      <c r="M52" s="1"/>
      <c r="N52" s="1"/>
      <c r="O52" s="1"/>
      <c r="P52" s="1"/>
      <c r="Q52" s="1"/>
      <c r="R52" s="1"/>
      <c r="S52" s="1"/>
      <c r="T52" s="1"/>
      <c r="U52" s="1"/>
      <c r="V52" s="1"/>
      <c r="W52" s="1"/>
      <c r="X52" s="1"/>
    </row>
    <row r="53">
      <c r="A53" s="1"/>
      <c r="B53" s="1"/>
      <c r="C53" s="1"/>
      <c r="D53" s="1"/>
      <c r="E53" s="1"/>
      <c r="F53" s="1"/>
      <c r="G53" s="1"/>
      <c r="H53" s="1"/>
      <c r="I53" s="1"/>
      <c r="J53" s="1"/>
      <c r="K53" s="1"/>
      <c r="L53" s="1"/>
      <c r="M53" s="1"/>
      <c r="N53" s="1"/>
      <c r="O53" s="1"/>
      <c r="P53" s="1"/>
      <c r="Q53" s="1"/>
      <c r="R53" s="1"/>
      <c r="S53" s="1"/>
      <c r="T53" s="1"/>
      <c r="U53" s="1"/>
      <c r="V53" s="1"/>
      <c r="W53" s="1"/>
      <c r="X53" s="1"/>
    </row>
    <row r="54">
      <c r="A54" s="1"/>
      <c r="B54" s="1"/>
      <c r="C54" s="1"/>
      <c r="D54" s="1"/>
      <c r="E54" s="1"/>
      <c r="F54" s="1"/>
      <c r="G54" s="1"/>
      <c r="H54" s="1"/>
      <c r="I54" s="1"/>
      <c r="J54" s="1"/>
      <c r="K54" s="1"/>
      <c r="L54" s="1"/>
      <c r="M54" s="1"/>
      <c r="N54" s="1"/>
      <c r="O54" s="1"/>
      <c r="P54" s="1"/>
      <c r="Q54" s="1"/>
      <c r="R54" s="1"/>
      <c r="S54" s="1"/>
      <c r="T54" s="1"/>
      <c r="U54" s="1"/>
      <c r="V54" s="1"/>
      <c r="W54" s="1"/>
      <c r="X54" s="1"/>
    </row>
    <row r="55">
      <c r="A55" s="1"/>
      <c r="B55" s="1"/>
      <c r="C55" s="1"/>
      <c r="D55" s="1"/>
      <c r="E55" s="1"/>
      <c r="F55" s="1"/>
      <c r="G55" s="1"/>
      <c r="H55" s="1"/>
      <c r="I55" s="1"/>
      <c r="J55" s="1"/>
      <c r="K55" s="1"/>
      <c r="L55" s="1"/>
      <c r="M55" s="1"/>
      <c r="N55" s="1"/>
      <c r="O55" s="1"/>
      <c r="P55" s="1"/>
      <c r="Q55" s="1"/>
      <c r="R55" s="1"/>
      <c r="S55" s="1"/>
      <c r="T55" s="1"/>
      <c r="U55" s="1"/>
      <c r="V55" s="1"/>
      <c r="W55" s="1"/>
      <c r="X55" s="1"/>
    </row>
    <row r="56">
      <c r="A56" s="1"/>
      <c r="B56" s="1"/>
      <c r="C56" s="1"/>
      <c r="D56" s="1"/>
      <c r="E56" s="1"/>
      <c r="F56" s="1"/>
      <c r="G56" s="1"/>
      <c r="H56" s="1"/>
      <c r="I56" s="1"/>
      <c r="J56" s="1"/>
      <c r="K56" s="1"/>
      <c r="L56" s="1"/>
      <c r="M56" s="1"/>
      <c r="N56" s="1"/>
      <c r="O56" s="1"/>
      <c r="P56" s="1"/>
      <c r="Q56" s="1"/>
      <c r="R56" s="1"/>
      <c r="S56" s="1"/>
      <c r="T56" s="1"/>
      <c r="U56" s="1"/>
      <c r="V56" s="1"/>
      <c r="W56" s="1"/>
      <c r="X56" s="1"/>
    </row>
    <row r="57">
      <c r="A57" s="1"/>
      <c r="B57" s="1"/>
      <c r="C57" s="1"/>
      <c r="D57" s="1"/>
      <c r="E57" s="1"/>
      <c r="F57" s="1"/>
      <c r="G57" s="1"/>
      <c r="H57" s="1"/>
      <c r="I57" s="1"/>
      <c r="J57" s="1"/>
      <c r="K57" s="1"/>
      <c r="L57" s="1"/>
      <c r="M57" s="1"/>
      <c r="N57" s="1"/>
      <c r="O57" s="1"/>
      <c r="P57" s="1"/>
      <c r="Q57" s="1"/>
      <c r="R57" s="1"/>
      <c r="S57" s="1"/>
      <c r="T57" s="1"/>
      <c r="U57" s="1"/>
      <c r="V57" s="1"/>
      <c r="W57" s="1"/>
      <c r="X57" s="1"/>
    </row>
    <row r="58">
      <c r="A58" s="1"/>
      <c r="B58" s="1"/>
      <c r="C58" s="1"/>
      <c r="D58" s="1"/>
      <c r="E58" s="1"/>
      <c r="F58" s="1"/>
      <c r="G58" s="1"/>
      <c r="H58" s="1"/>
      <c r="I58" s="1"/>
      <c r="J58" s="1"/>
      <c r="K58" s="1"/>
      <c r="L58" s="1"/>
      <c r="M58" s="1"/>
      <c r="N58" s="1"/>
      <c r="O58" s="1"/>
      <c r="P58" s="1"/>
      <c r="Q58" s="1"/>
      <c r="R58" s="1"/>
      <c r="S58" s="1"/>
      <c r="T58" s="1"/>
      <c r="U58" s="1"/>
      <c r="V58" s="1"/>
      <c r="W58" s="1"/>
      <c r="X58" s="1"/>
    </row>
    <row r="59">
      <c r="A59" s="1"/>
      <c r="B59" s="1"/>
      <c r="C59" s="1"/>
      <c r="D59" s="1"/>
      <c r="E59" s="1"/>
      <c r="F59" s="1"/>
      <c r="G59" s="1"/>
      <c r="H59" s="1"/>
      <c r="I59" s="1"/>
      <c r="J59" s="1"/>
      <c r="K59" s="1"/>
      <c r="L59" s="1"/>
      <c r="M59" s="1"/>
      <c r="N59" s="1"/>
      <c r="O59" s="1"/>
      <c r="P59" s="1"/>
      <c r="Q59" s="1"/>
      <c r="R59" s="1"/>
      <c r="S59" s="1"/>
      <c r="T59" s="1"/>
      <c r="U59" s="1"/>
      <c r="V59" s="1"/>
      <c r="W59" s="1"/>
      <c r="X59" s="1"/>
    </row>
    <row r="60">
      <c r="A60" s="1"/>
      <c r="B60" s="1"/>
      <c r="C60" s="1"/>
      <c r="D60" s="1"/>
      <c r="E60" s="1"/>
      <c r="F60" s="1"/>
      <c r="G60" s="1"/>
      <c r="H60" s="1"/>
      <c r="I60" s="1"/>
      <c r="J60" s="1"/>
      <c r="K60" s="1"/>
      <c r="L60" s="1"/>
      <c r="M60" s="1"/>
      <c r="N60" s="1"/>
      <c r="O60" s="1"/>
      <c r="P60" s="1"/>
      <c r="Q60" s="1"/>
      <c r="R60" s="1"/>
      <c r="S60" s="1"/>
      <c r="T60" s="1"/>
      <c r="U60" s="1"/>
      <c r="V60" s="1"/>
      <c r="W60" s="1"/>
      <c r="X60" s="1"/>
    </row>
    <row r="61">
      <c r="A61" s="1"/>
      <c r="B61" s="1"/>
      <c r="C61" s="1"/>
      <c r="D61" s="1"/>
      <c r="E61" s="1"/>
      <c r="F61" s="1"/>
      <c r="G61" s="1"/>
      <c r="H61" s="1"/>
      <c r="I61" s="1"/>
      <c r="J61" s="1"/>
      <c r="K61" s="1"/>
      <c r="L61" s="1"/>
      <c r="M61" s="1"/>
      <c r="N61" s="1"/>
      <c r="O61" s="1"/>
      <c r="P61" s="1"/>
      <c r="Q61" s="1"/>
      <c r="R61" s="1"/>
      <c r="S61" s="1"/>
      <c r="T61" s="1"/>
      <c r="U61" s="1"/>
      <c r="V61" s="1"/>
      <c r="W61" s="1"/>
      <c r="X61" s="1"/>
    </row>
    <row r="62">
      <c r="A62" s="1"/>
      <c r="B62" s="1"/>
      <c r="C62" s="1"/>
      <c r="D62" s="1"/>
      <c r="E62" s="1"/>
      <c r="F62" s="1"/>
      <c r="G62" s="1"/>
      <c r="H62" s="1"/>
      <c r="I62" s="1"/>
      <c r="J62" s="1"/>
      <c r="K62" s="1"/>
      <c r="L62" s="1"/>
      <c r="M62" s="1"/>
      <c r="N62" s="1"/>
      <c r="O62" s="1"/>
      <c r="P62" s="1"/>
      <c r="Q62" s="1"/>
      <c r="R62" s="1"/>
      <c r="S62" s="1"/>
      <c r="T62" s="1"/>
      <c r="U62" s="1"/>
      <c r="V62" s="1"/>
      <c r="W62" s="1"/>
      <c r="X62" s="1"/>
    </row>
    <row r="63">
      <c r="A63" s="1"/>
      <c r="B63" s="1"/>
      <c r="C63" s="1"/>
      <c r="D63" s="1"/>
      <c r="E63" s="1"/>
      <c r="F63" s="1"/>
      <c r="G63" s="1"/>
      <c r="H63" s="1"/>
      <c r="I63" s="1"/>
      <c r="J63" s="1"/>
      <c r="K63" s="1"/>
      <c r="L63" s="1"/>
      <c r="M63" s="1"/>
      <c r="N63" s="1"/>
      <c r="O63" s="1"/>
      <c r="P63" s="1"/>
      <c r="Q63" s="1"/>
      <c r="R63" s="1"/>
      <c r="S63" s="1"/>
      <c r="T63" s="1"/>
      <c r="U63" s="1"/>
      <c r="V63" s="1"/>
      <c r="W63" s="1"/>
      <c r="X63" s="1"/>
    </row>
    <row r="64">
      <c r="A64" s="1"/>
      <c r="B64" s="1"/>
      <c r="C64" s="1"/>
      <c r="D64" s="1"/>
      <c r="E64" s="1"/>
      <c r="F64" s="1"/>
      <c r="G64" s="1"/>
      <c r="H64" s="1"/>
      <c r="I64" s="1"/>
      <c r="J64" s="1"/>
      <c r="K64" s="1"/>
      <c r="L64" s="1"/>
      <c r="M64" s="1"/>
      <c r="N64" s="1"/>
      <c r="O64" s="1"/>
      <c r="P64" s="1"/>
      <c r="Q64" s="1"/>
      <c r="R64" s="1"/>
      <c r="S64" s="1"/>
      <c r="T64" s="1"/>
      <c r="U64" s="1"/>
      <c r="V64" s="1"/>
      <c r="W64" s="1"/>
      <c r="X64" s="1"/>
    </row>
    <row r="65">
      <c r="A65" s="1"/>
      <c r="B65" s="1"/>
      <c r="C65" s="1"/>
      <c r="D65" s="1"/>
      <c r="E65" s="1"/>
      <c r="F65" s="1"/>
      <c r="G65" s="1"/>
      <c r="H65" s="1"/>
      <c r="I65" s="1"/>
      <c r="J65" s="1"/>
      <c r="K65" s="1"/>
      <c r="L65" s="1"/>
      <c r="M65" s="1"/>
      <c r="N65" s="1"/>
      <c r="O65" s="1"/>
      <c r="P65" s="1"/>
      <c r="Q65" s="1"/>
      <c r="R65" s="1"/>
      <c r="S65" s="1"/>
      <c r="T65" s="1"/>
      <c r="U65" s="1"/>
      <c r="V65" s="1"/>
      <c r="W65" s="1"/>
      <c r="X65" s="1"/>
    </row>
    <row r="66">
      <c r="A66" s="1"/>
      <c r="B66" s="1"/>
      <c r="C66" s="1"/>
      <c r="D66" s="1"/>
      <c r="E66" s="1"/>
      <c r="F66" s="1"/>
      <c r="G66" s="1"/>
      <c r="H66" s="1"/>
      <c r="I66" s="1"/>
      <c r="J66" s="1"/>
      <c r="K66" s="1"/>
      <c r="L66" s="1"/>
      <c r="M66" s="1"/>
      <c r="N66" s="1"/>
      <c r="O66" s="1"/>
      <c r="P66" s="1"/>
      <c r="Q66" s="1"/>
      <c r="R66" s="1"/>
      <c r="S66" s="1"/>
      <c r="T66" s="1"/>
      <c r="U66" s="1"/>
      <c r="V66" s="1"/>
      <c r="W66" s="1"/>
      <c r="X66" s="1"/>
    </row>
    <row r="67">
      <c r="A67" s="1"/>
      <c r="B67" s="1"/>
      <c r="C67" s="1"/>
      <c r="D67" s="1"/>
      <c r="E67" s="1"/>
      <c r="F67" s="1"/>
      <c r="G67" s="1"/>
      <c r="H67" s="1"/>
      <c r="I67" s="1"/>
      <c r="J67" s="1"/>
      <c r="K67" s="1"/>
      <c r="L67" s="1"/>
      <c r="M67" s="1"/>
      <c r="N67" s="1"/>
      <c r="O67" s="1"/>
      <c r="P67" s="1"/>
      <c r="Q67" s="1"/>
      <c r="R67" s="1"/>
      <c r="S67" s="1"/>
      <c r="T67" s="1"/>
      <c r="U67" s="1"/>
      <c r="V67" s="1"/>
      <c r="W67" s="1"/>
      <c r="X67" s="1"/>
    </row>
    <row r="68">
      <c r="A68" s="1"/>
      <c r="B68" s="1"/>
      <c r="C68" s="1"/>
      <c r="D68" s="1"/>
      <c r="E68" s="1"/>
      <c r="F68" s="1"/>
      <c r="G68" s="1"/>
      <c r="H68" s="1"/>
      <c r="I68" s="1"/>
      <c r="J68" s="1"/>
      <c r="K68" s="1"/>
      <c r="L68" s="1"/>
      <c r="M68" s="1"/>
      <c r="N68" s="1"/>
      <c r="O68" s="1"/>
      <c r="P68" s="1"/>
      <c r="Q68" s="1"/>
      <c r="R68" s="1"/>
      <c r="S68" s="1"/>
      <c r="T68" s="1"/>
      <c r="U68" s="1"/>
      <c r="V68" s="1"/>
      <c r="W68" s="1"/>
      <c r="X68" s="1"/>
    </row>
    <row r="69">
      <c r="A69" s="1"/>
      <c r="B69" s="1"/>
      <c r="C69" s="1"/>
      <c r="D69" s="1"/>
      <c r="E69" s="1"/>
      <c r="F69" s="1"/>
      <c r="G69" s="1"/>
      <c r="H69" s="1"/>
      <c r="I69" s="1"/>
      <c r="J69" s="1"/>
      <c r="K69" s="1"/>
      <c r="L69" s="1"/>
      <c r="M69" s="1"/>
      <c r="N69" s="1"/>
      <c r="O69" s="1"/>
      <c r="P69" s="1"/>
      <c r="Q69" s="1"/>
      <c r="R69" s="1"/>
      <c r="S69" s="1"/>
      <c r="T69" s="1"/>
      <c r="U69" s="1"/>
      <c r="V69" s="1"/>
      <c r="W69" s="1"/>
      <c r="X69" s="1"/>
    </row>
    <row r="70">
      <c r="A70" s="1"/>
      <c r="B70" s="1"/>
      <c r="C70" s="1"/>
      <c r="D70" s="1"/>
      <c r="E70" s="1"/>
      <c r="F70" s="1"/>
      <c r="G70" s="1"/>
      <c r="H70" s="1"/>
      <c r="I70" s="1"/>
      <c r="J70" s="1"/>
      <c r="K70" s="1"/>
      <c r="L70" s="1"/>
      <c r="M70" s="1"/>
      <c r="N70" s="1"/>
      <c r="O70" s="1"/>
      <c r="P70" s="1"/>
      <c r="Q70" s="1"/>
      <c r="R70" s="1"/>
      <c r="S70" s="1"/>
      <c r="T70" s="1"/>
      <c r="U70" s="1"/>
      <c r="V70" s="1"/>
      <c r="W70" s="1"/>
      <c r="X70" s="1"/>
    </row>
    <row r="71">
      <c r="A71" s="1"/>
      <c r="B71" s="1"/>
      <c r="C71" s="1"/>
      <c r="D71" s="1"/>
      <c r="E71" s="1"/>
      <c r="F71" s="1"/>
      <c r="G71" s="1"/>
      <c r="H71" s="1"/>
      <c r="I71" s="1"/>
      <c r="J71" s="1"/>
      <c r="K71" s="1"/>
      <c r="L71" s="1"/>
      <c r="M71" s="1"/>
      <c r="N71" s="1"/>
      <c r="O71" s="1"/>
      <c r="P71" s="1"/>
      <c r="Q71" s="1"/>
      <c r="R71" s="1"/>
      <c r="S71" s="1"/>
      <c r="T71" s="1"/>
      <c r="U71" s="1"/>
      <c r="V71" s="1"/>
      <c r="W71" s="1"/>
      <c r="X71" s="1"/>
    </row>
    <row r="72">
      <c r="A72" s="1"/>
      <c r="B72" s="1"/>
      <c r="C72" s="1"/>
      <c r="D72" s="1"/>
      <c r="E72" s="1"/>
      <c r="F72" s="1"/>
      <c r="G72" s="1"/>
      <c r="H72" s="1"/>
      <c r="I72" s="1"/>
      <c r="J72" s="1"/>
      <c r="K72" s="1"/>
      <c r="L72" s="1"/>
      <c r="M72" s="1"/>
      <c r="N72" s="1"/>
      <c r="O72" s="1"/>
      <c r="P72" s="1"/>
      <c r="Q72" s="1"/>
      <c r="R72" s="1"/>
      <c r="S72" s="1"/>
      <c r="T72" s="1"/>
      <c r="U72" s="1"/>
      <c r="V72" s="1"/>
      <c r="W72" s="1"/>
      <c r="X72" s="1"/>
    </row>
    <row r="73">
      <c r="A73" s="1"/>
      <c r="B73" s="1"/>
      <c r="C73" s="1"/>
      <c r="D73" s="1"/>
      <c r="E73" s="1"/>
      <c r="F73" s="1"/>
      <c r="G73" s="1"/>
      <c r="H73" s="1"/>
      <c r="I73" s="1"/>
      <c r="J73" s="1"/>
      <c r="K73" s="1"/>
      <c r="L73" s="1"/>
      <c r="M73" s="1"/>
      <c r="N73" s="1"/>
      <c r="O73" s="1"/>
      <c r="P73" s="1"/>
      <c r="Q73" s="1"/>
      <c r="R73" s="1"/>
      <c r="S73" s="1"/>
      <c r="T73" s="1"/>
      <c r="U73" s="1"/>
      <c r="V73" s="1"/>
      <c r="W73" s="1"/>
      <c r="X73" s="1"/>
    </row>
    <row r="74">
      <c r="A74" s="1"/>
      <c r="B74" s="1"/>
      <c r="C74" s="1"/>
      <c r="D74" s="1"/>
      <c r="E74" s="1"/>
      <c r="F74" s="1"/>
      <c r="G74" s="1"/>
      <c r="H74" s="1"/>
      <c r="I74" s="1"/>
      <c r="J74" s="1"/>
      <c r="K74" s="1"/>
      <c r="L74" s="1"/>
      <c r="M74" s="1"/>
      <c r="N74" s="1"/>
      <c r="O74" s="1"/>
      <c r="P74" s="1"/>
      <c r="Q74" s="1"/>
      <c r="R74" s="1"/>
      <c r="S74" s="1"/>
      <c r="T74" s="1"/>
      <c r="U74" s="1"/>
      <c r="V74" s="1"/>
      <c r="W74" s="1"/>
      <c r="X74" s="1"/>
    </row>
    <row r="75">
      <c r="A75" s="1"/>
      <c r="B75" s="1"/>
      <c r="C75" s="1"/>
      <c r="D75" s="1"/>
      <c r="E75" s="1"/>
      <c r="F75" s="1"/>
      <c r="G75" s="1"/>
      <c r="H75" s="1"/>
      <c r="I75" s="1"/>
      <c r="J75" s="1"/>
      <c r="K75" s="1"/>
      <c r="L75" s="1"/>
      <c r="M75" s="1"/>
      <c r="N75" s="1"/>
      <c r="O75" s="1"/>
      <c r="P75" s="1"/>
      <c r="Q75" s="1"/>
      <c r="R75" s="1"/>
      <c r="S75" s="1"/>
      <c r="T75" s="1"/>
      <c r="U75" s="1"/>
      <c r="V75" s="1"/>
      <c r="W75" s="1"/>
      <c r="X75" s="1"/>
    </row>
    <row r="76">
      <c r="A76" s="1"/>
      <c r="B76" s="1"/>
      <c r="C76" s="1"/>
      <c r="D76" s="1"/>
      <c r="E76" s="1"/>
      <c r="F76" s="1"/>
      <c r="G76" s="1"/>
      <c r="H76" s="1"/>
      <c r="I76" s="1"/>
      <c r="J76" s="1"/>
      <c r="K76" s="1"/>
      <c r="L76" s="1"/>
      <c r="M76" s="1"/>
      <c r="N76" s="1"/>
      <c r="O76" s="1"/>
      <c r="P76" s="1"/>
      <c r="Q76" s="1"/>
      <c r="R76" s="1"/>
      <c r="S76" s="1"/>
      <c r="T76" s="1"/>
      <c r="U76" s="1"/>
      <c r="V76" s="1"/>
      <c r="W76" s="1"/>
      <c r="X76" s="1"/>
    </row>
    <row r="77">
      <c r="A77" s="1"/>
      <c r="B77" s="1"/>
      <c r="C77" s="1"/>
      <c r="D77" s="1"/>
      <c r="E77" s="1"/>
      <c r="F77" s="1"/>
      <c r="G77" s="1"/>
      <c r="H77" s="1"/>
      <c r="I77" s="1"/>
      <c r="J77" s="1"/>
      <c r="K77" s="1"/>
      <c r="L77" s="1"/>
      <c r="M77" s="1"/>
      <c r="N77" s="1"/>
      <c r="O77" s="1"/>
      <c r="P77" s="1"/>
      <c r="Q77" s="1"/>
      <c r="R77" s="1"/>
      <c r="S77" s="1"/>
      <c r="T77" s="1"/>
      <c r="U77" s="1"/>
      <c r="V77" s="1"/>
      <c r="W77" s="1"/>
      <c r="X77" s="1"/>
    </row>
    <row r="78">
      <c r="A78" s="1"/>
      <c r="B78" s="1"/>
      <c r="C78" s="1"/>
      <c r="D78" s="1"/>
      <c r="E78" s="1"/>
      <c r="F78" s="1"/>
      <c r="G78" s="1"/>
      <c r="H78" s="1"/>
      <c r="I78" s="1"/>
      <c r="J78" s="1"/>
      <c r="K78" s="1"/>
      <c r="L78" s="1"/>
      <c r="M78" s="1"/>
      <c r="N78" s="1"/>
      <c r="O78" s="1"/>
      <c r="P78" s="1"/>
      <c r="Q78" s="1"/>
      <c r="R78" s="1"/>
      <c r="S78" s="1"/>
      <c r="T78" s="1"/>
      <c r="U78" s="1"/>
      <c r="V78" s="1"/>
      <c r="W78" s="1"/>
      <c r="X78" s="1"/>
    </row>
    <row r="79">
      <c r="A79" s="1"/>
      <c r="B79" s="1"/>
      <c r="C79" s="1"/>
      <c r="D79" s="1"/>
      <c r="E79" s="1"/>
      <c r="F79" s="1"/>
      <c r="G79" s="1"/>
      <c r="H79" s="1"/>
      <c r="I79" s="1"/>
      <c r="J79" s="1"/>
      <c r="K79" s="1"/>
      <c r="L79" s="1"/>
      <c r="M79" s="1"/>
      <c r="N79" s="1"/>
      <c r="O79" s="1"/>
      <c r="P79" s="1"/>
      <c r="Q79" s="1"/>
      <c r="R79" s="1"/>
      <c r="S79" s="1"/>
      <c r="T79" s="1"/>
      <c r="U79" s="1"/>
      <c r="V79" s="1"/>
      <c r="W79" s="1"/>
      <c r="X79" s="1"/>
    </row>
    <row r="80">
      <c r="A80" s="1"/>
      <c r="B80" s="1"/>
      <c r="C80" s="1"/>
      <c r="D80" s="1"/>
      <c r="E80" s="1"/>
      <c r="F80" s="1"/>
      <c r="G80" s="1"/>
      <c r="H80" s="1"/>
      <c r="I80" s="1"/>
      <c r="J80" s="1"/>
      <c r="K80" s="1"/>
      <c r="L80" s="1"/>
      <c r="M80" s="1"/>
      <c r="N80" s="1"/>
      <c r="O80" s="1"/>
      <c r="P80" s="1"/>
      <c r="Q80" s="1"/>
      <c r="R80" s="1"/>
      <c r="S80" s="1"/>
      <c r="T80" s="1"/>
      <c r="U80" s="1"/>
      <c r="V80" s="1"/>
      <c r="W80" s="1"/>
      <c r="X80" s="1"/>
    </row>
    <row r="81">
      <c r="A81" s="1"/>
      <c r="B81" s="1"/>
      <c r="C81" s="1"/>
      <c r="D81" s="1"/>
      <c r="E81" s="1"/>
      <c r="F81" s="1"/>
      <c r="G81" s="1"/>
      <c r="H81" s="1"/>
      <c r="I81" s="1"/>
      <c r="J81" s="1"/>
      <c r="K81" s="1"/>
      <c r="L81" s="1"/>
      <c r="M81" s="1"/>
      <c r="N81" s="1"/>
      <c r="O81" s="1"/>
      <c r="P81" s="1"/>
      <c r="Q81" s="1"/>
      <c r="R81" s="1"/>
      <c r="S81" s="1"/>
      <c r="T81" s="1"/>
      <c r="U81" s="1"/>
      <c r="V81" s="1"/>
      <c r="W81" s="1"/>
      <c r="X81" s="1"/>
    </row>
    <row r="82">
      <c r="A82" s="1"/>
      <c r="B82" s="1"/>
      <c r="C82" s="1"/>
      <c r="D82" s="1"/>
      <c r="E82" s="1"/>
      <c r="F82" s="1"/>
      <c r="G82" s="1"/>
      <c r="H82" s="1"/>
      <c r="I82" s="1"/>
      <c r="J82" s="1"/>
      <c r="K82" s="1"/>
      <c r="L82" s="1"/>
      <c r="M82" s="1"/>
      <c r="N82" s="1"/>
      <c r="O82" s="1"/>
      <c r="P82" s="1"/>
      <c r="Q82" s="1"/>
      <c r="R82" s="1"/>
      <c r="S82" s="1"/>
      <c r="T82" s="1"/>
      <c r="U82" s="1"/>
      <c r="V82" s="1"/>
      <c r="W82" s="1"/>
      <c r="X82" s="1"/>
    </row>
    <row r="83">
      <c r="A83" s="1"/>
      <c r="B83" s="1"/>
      <c r="C83" s="1"/>
      <c r="D83" s="1"/>
      <c r="E83" s="1"/>
      <c r="F83" s="1"/>
      <c r="G83" s="1"/>
      <c r="H83" s="1"/>
      <c r="I83" s="1"/>
      <c r="J83" s="1"/>
      <c r="K83" s="1"/>
      <c r="L83" s="1"/>
      <c r="M83" s="1"/>
      <c r="N83" s="1"/>
      <c r="O83" s="1"/>
      <c r="P83" s="1"/>
      <c r="Q83" s="1"/>
      <c r="R83" s="1"/>
      <c r="S83" s="1"/>
      <c r="T83" s="1"/>
      <c r="U83" s="1"/>
      <c r="V83" s="1"/>
      <c r="W83" s="1"/>
      <c r="X83" s="1"/>
    </row>
    <row r="84">
      <c r="A84" s="1"/>
      <c r="B84" s="1"/>
      <c r="C84" s="1"/>
      <c r="D84" s="1"/>
      <c r="E84" s="1"/>
      <c r="F84" s="1"/>
      <c r="G84" s="1"/>
      <c r="H84" s="1"/>
      <c r="I84" s="1"/>
      <c r="J84" s="1"/>
      <c r="K84" s="1"/>
      <c r="L84" s="1"/>
      <c r="M84" s="1"/>
      <c r="N84" s="1"/>
      <c r="O84" s="1"/>
      <c r="P84" s="1"/>
      <c r="Q84" s="1"/>
      <c r="R84" s="1"/>
      <c r="S84" s="1"/>
      <c r="T84" s="1"/>
      <c r="U84" s="1"/>
      <c r="V84" s="1"/>
      <c r="W84" s="1"/>
      <c r="X84" s="1"/>
    </row>
    <row r="85">
      <c r="A85" s="1"/>
      <c r="B85" s="1"/>
      <c r="C85" s="1"/>
      <c r="D85" s="1"/>
      <c r="E85" s="1"/>
      <c r="F85" s="1"/>
      <c r="G85" s="1"/>
      <c r="H85" s="1"/>
      <c r="I85" s="1"/>
      <c r="J85" s="1"/>
      <c r="K85" s="1"/>
      <c r="L85" s="1"/>
      <c r="M85" s="1"/>
      <c r="N85" s="1"/>
      <c r="O85" s="1"/>
      <c r="P85" s="1"/>
      <c r="Q85" s="1"/>
      <c r="R85" s="1"/>
      <c r="S85" s="1"/>
      <c r="T85" s="1"/>
      <c r="U85" s="1"/>
      <c r="V85" s="1"/>
      <c r="W85" s="1"/>
      <c r="X85" s="1"/>
    </row>
    <row r="86">
      <c r="A86" s="1"/>
      <c r="B86" s="1"/>
      <c r="C86" s="1"/>
      <c r="D86" s="1"/>
      <c r="E86" s="1"/>
      <c r="F86" s="1"/>
      <c r="G86" s="1"/>
      <c r="H86" s="1"/>
      <c r="I86" s="1"/>
      <c r="J86" s="1"/>
      <c r="K86" s="1"/>
      <c r="L86" s="1"/>
      <c r="M86" s="1"/>
      <c r="N86" s="1"/>
      <c r="O86" s="1"/>
      <c r="P86" s="1"/>
      <c r="Q86" s="1"/>
      <c r="R86" s="1"/>
      <c r="S86" s="1"/>
      <c r="T86" s="1"/>
      <c r="U86" s="1"/>
      <c r="V86" s="1"/>
      <c r="W86" s="1"/>
      <c r="X86" s="1"/>
    </row>
    <row r="87">
      <c r="A87" s="1"/>
      <c r="B87" s="1"/>
      <c r="C87" s="1"/>
      <c r="D87" s="1"/>
      <c r="E87" s="1"/>
      <c r="F87" s="1"/>
      <c r="G87" s="1"/>
      <c r="H87" s="1"/>
      <c r="I87" s="1"/>
      <c r="J87" s="1"/>
      <c r="K87" s="1"/>
      <c r="L87" s="1"/>
      <c r="M87" s="1"/>
      <c r="N87" s="1"/>
      <c r="O87" s="1"/>
      <c r="P87" s="1"/>
      <c r="Q87" s="1"/>
      <c r="R87" s="1"/>
      <c r="S87" s="1"/>
      <c r="T87" s="1"/>
      <c r="U87" s="1"/>
      <c r="V87" s="1"/>
      <c r="W87" s="1"/>
      <c r="X87" s="1"/>
    </row>
    <row r="88">
      <c r="A88" s="1"/>
      <c r="B88" s="1"/>
      <c r="C88" s="1"/>
      <c r="D88" s="1"/>
      <c r="E88" s="1"/>
      <c r="F88" s="1"/>
      <c r="G88" s="1"/>
      <c r="H88" s="1"/>
      <c r="I88" s="1"/>
      <c r="J88" s="1"/>
      <c r="K88" s="1"/>
      <c r="L88" s="1"/>
      <c r="M88" s="1"/>
      <c r="N88" s="1"/>
      <c r="O88" s="1"/>
      <c r="P88" s="1"/>
      <c r="Q88" s="1"/>
      <c r="R88" s="1"/>
      <c r="S88" s="1"/>
      <c r="T88" s="1"/>
      <c r="U88" s="1"/>
      <c r="V88" s="1"/>
      <c r="W88" s="1"/>
      <c r="X88" s="1"/>
    </row>
    <row r="89">
      <c r="A89" s="1"/>
      <c r="B89" s="1"/>
      <c r="C89" s="1"/>
      <c r="D89" s="1"/>
      <c r="E89" s="1"/>
      <c r="F89" s="1"/>
      <c r="G89" s="1"/>
      <c r="H89" s="1"/>
      <c r="I89" s="1"/>
      <c r="J89" s="1"/>
      <c r="K89" s="1"/>
      <c r="L89" s="1"/>
      <c r="M89" s="1"/>
      <c r="N89" s="1"/>
      <c r="O89" s="1"/>
      <c r="P89" s="1"/>
      <c r="Q89" s="1"/>
      <c r="R89" s="1"/>
      <c r="S89" s="1"/>
      <c r="T89" s="1"/>
      <c r="U89" s="1"/>
      <c r="V89" s="1"/>
      <c r="W89" s="1"/>
      <c r="X89" s="1"/>
    </row>
    <row r="90">
      <c r="A90" s="1"/>
      <c r="B90" s="1"/>
      <c r="C90" s="1"/>
      <c r="D90" s="1"/>
      <c r="E90" s="1"/>
      <c r="F90" s="1"/>
      <c r="G90" s="1"/>
      <c r="H90" s="1"/>
      <c r="I90" s="1"/>
      <c r="J90" s="1"/>
      <c r="K90" s="1"/>
      <c r="L90" s="1"/>
      <c r="M90" s="1"/>
      <c r="N90" s="1"/>
      <c r="O90" s="1"/>
      <c r="P90" s="1"/>
      <c r="Q90" s="1"/>
      <c r="R90" s="1"/>
      <c r="S90" s="1"/>
      <c r="T90" s="1"/>
      <c r="U90" s="1"/>
      <c r="V90" s="1"/>
      <c r="W90" s="1"/>
      <c r="X90" s="1"/>
    </row>
    <row r="91">
      <c r="A91" s="1"/>
      <c r="B91" s="1"/>
      <c r="C91" s="1"/>
      <c r="D91" s="1"/>
      <c r="E91" s="1"/>
      <c r="F91" s="1"/>
      <c r="G91" s="1"/>
      <c r="H91" s="1"/>
      <c r="I91" s="1"/>
      <c r="J91" s="1"/>
      <c r="K91" s="1"/>
      <c r="L91" s="1"/>
      <c r="M91" s="1"/>
      <c r="N91" s="1"/>
      <c r="O91" s="1"/>
      <c r="P91" s="1"/>
      <c r="Q91" s="1"/>
      <c r="R91" s="1"/>
      <c r="S91" s="1"/>
      <c r="T91" s="1"/>
      <c r="U91" s="1"/>
      <c r="V91" s="1"/>
      <c r="W91" s="1"/>
      <c r="X91" s="1"/>
    </row>
    <row r="92">
      <c r="A92" s="1"/>
      <c r="B92" s="1"/>
      <c r="C92" s="1"/>
      <c r="D92" s="1"/>
      <c r="E92" s="1"/>
      <c r="F92" s="1"/>
      <c r="G92" s="1"/>
      <c r="H92" s="1"/>
      <c r="I92" s="1"/>
      <c r="J92" s="1"/>
      <c r="K92" s="1"/>
      <c r="L92" s="1"/>
      <c r="M92" s="1"/>
      <c r="N92" s="1"/>
      <c r="O92" s="1"/>
      <c r="P92" s="1"/>
      <c r="Q92" s="1"/>
      <c r="R92" s="1"/>
      <c r="S92" s="1"/>
      <c r="T92" s="1"/>
      <c r="U92" s="1"/>
      <c r="V92" s="1"/>
      <c r="W92" s="1"/>
      <c r="X92" s="1"/>
    </row>
    <row r="93">
      <c r="A93" s="1"/>
      <c r="B93" s="1"/>
      <c r="C93" s="1"/>
      <c r="D93" s="1"/>
      <c r="E93" s="1"/>
      <c r="F93" s="1"/>
      <c r="G93" s="1"/>
      <c r="H93" s="1"/>
      <c r="I93" s="1"/>
      <c r="J93" s="1"/>
      <c r="K93" s="1"/>
      <c r="L93" s="1"/>
      <c r="M93" s="1"/>
      <c r="N93" s="1"/>
      <c r="O93" s="1"/>
      <c r="P93" s="1"/>
      <c r="Q93" s="1"/>
      <c r="R93" s="1"/>
      <c r="S93" s="1"/>
      <c r="T93" s="1"/>
      <c r="U93" s="1"/>
      <c r="V93" s="1"/>
      <c r="W93" s="1"/>
      <c r="X93" s="1"/>
    </row>
    <row r="94">
      <c r="A94" s="1"/>
      <c r="B94" s="1"/>
      <c r="C94" s="1"/>
      <c r="D94" s="1"/>
      <c r="E94" s="1"/>
      <c r="F94" s="1"/>
      <c r="G94" s="1"/>
      <c r="H94" s="1"/>
      <c r="I94" s="1"/>
      <c r="J94" s="1"/>
      <c r="K94" s="1"/>
      <c r="L94" s="1"/>
      <c r="M94" s="1"/>
      <c r="N94" s="1"/>
      <c r="O94" s="1"/>
      <c r="P94" s="1"/>
      <c r="Q94" s="1"/>
      <c r="R94" s="1"/>
      <c r="S94" s="1"/>
      <c r="T94" s="1"/>
      <c r="U94" s="1"/>
      <c r="V94" s="1"/>
      <c r="W94" s="1"/>
      <c r="X94" s="1"/>
    </row>
    <row r="95">
      <c r="A95" s="1"/>
      <c r="B95" s="1"/>
      <c r="C95" s="1"/>
      <c r="D95" s="1"/>
      <c r="E95" s="1"/>
      <c r="F95" s="1"/>
      <c r="G95" s="1"/>
      <c r="H95" s="1"/>
      <c r="I95" s="1"/>
      <c r="J95" s="1"/>
      <c r="K95" s="1"/>
      <c r="L95" s="1"/>
      <c r="M95" s="1"/>
      <c r="N95" s="1"/>
      <c r="O95" s="1"/>
      <c r="P95" s="1"/>
      <c r="Q95" s="1"/>
      <c r="R95" s="1"/>
      <c r="S95" s="1"/>
      <c r="T95" s="1"/>
      <c r="U95" s="1"/>
      <c r="V95" s="1"/>
      <c r="W95" s="1"/>
      <c r="X95" s="1"/>
    </row>
    <row r="96">
      <c r="A96" s="1"/>
      <c r="B96" s="1"/>
      <c r="C96" s="1"/>
      <c r="D96" s="1"/>
      <c r="E96" s="1"/>
      <c r="F96" s="1"/>
      <c r="G96" s="1"/>
      <c r="H96" s="1"/>
      <c r="I96" s="1"/>
      <c r="J96" s="1"/>
      <c r="K96" s="1"/>
      <c r="L96" s="1"/>
      <c r="M96" s="1"/>
      <c r="N96" s="1"/>
      <c r="O96" s="1"/>
      <c r="P96" s="1"/>
      <c r="Q96" s="1"/>
      <c r="R96" s="1"/>
      <c r="S96" s="1"/>
      <c r="T96" s="1"/>
      <c r="U96" s="1"/>
      <c r="V96" s="1"/>
      <c r="W96" s="1"/>
      <c r="X96" s="1"/>
    </row>
    <row r="97">
      <c r="A97" s="1"/>
      <c r="B97" s="1"/>
      <c r="C97" s="1"/>
      <c r="D97" s="1"/>
      <c r="E97" s="1"/>
      <c r="F97" s="1"/>
      <c r="G97" s="1"/>
      <c r="H97" s="1"/>
      <c r="I97" s="1"/>
      <c r="J97" s="1"/>
      <c r="K97" s="1"/>
      <c r="L97" s="1"/>
      <c r="M97" s="1"/>
      <c r="N97" s="1"/>
      <c r="O97" s="1"/>
      <c r="P97" s="1"/>
      <c r="Q97" s="1"/>
      <c r="R97" s="1"/>
      <c r="S97" s="1"/>
      <c r="T97" s="1"/>
      <c r="U97" s="1"/>
      <c r="V97" s="1"/>
      <c r="W97" s="1"/>
      <c r="X97" s="1"/>
    </row>
    <row r="98">
      <c r="A98" s="1"/>
      <c r="B98" s="1"/>
      <c r="C98" s="1"/>
      <c r="D98" s="1"/>
      <c r="E98" s="1"/>
      <c r="F98" s="1"/>
      <c r="G98" s="1"/>
      <c r="H98" s="1"/>
      <c r="I98" s="1"/>
      <c r="J98" s="1"/>
      <c r="K98" s="1"/>
      <c r="L98" s="1"/>
      <c r="M98" s="1"/>
      <c r="N98" s="1"/>
      <c r="O98" s="1"/>
      <c r="P98" s="1"/>
      <c r="Q98" s="1"/>
      <c r="R98" s="1"/>
      <c r="S98" s="1"/>
      <c r="T98" s="1"/>
      <c r="U98" s="1"/>
      <c r="V98" s="1"/>
      <c r="W98" s="1"/>
      <c r="X98" s="1"/>
    </row>
    <row r="99">
      <c r="A99" s="1"/>
      <c r="B99" s="1"/>
      <c r="C99" s="1"/>
      <c r="D99" s="1"/>
      <c r="E99" s="1"/>
      <c r="F99" s="1"/>
      <c r="G99" s="1"/>
      <c r="H99" s="1"/>
      <c r="I99" s="1"/>
      <c r="J99" s="1"/>
      <c r="K99" s="1"/>
      <c r="L99" s="1"/>
      <c r="M99" s="1"/>
      <c r="N99" s="1"/>
      <c r="O99" s="1"/>
      <c r="P99" s="1"/>
      <c r="Q99" s="1"/>
      <c r="R99" s="1"/>
      <c r="S99" s="1"/>
      <c r="T99" s="1"/>
      <c r="U99" s="1"/>
      <c r="V99" s="1"/>
      <c r="W99" s="1"/>
      <c r="X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row>
  </sheetData>
  <printOptions/>
  <pageMargins bottom="0.0" footer="0.0" header="0.0" left="0.0" right="0.0" top="0.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pageSetUpPr/>
  </sheetPr>
  <sheetViews>
    <sheetView showGridLines="0" workbookViewId="0"/>
  </sheetViews>
  <sheetFormatPr customHeight="1" defaultColWidth="14.43" defaultRowHeight="15.0"/>
  <cols>
    <col customWidth="1" min="2" max="2" width="218.57"/>
  </cols>
  <sheetData>
    <row r="1">
      <c r="A1" s="1"/>
      <c r="B1" s="87"/>
      <c r="C1" s="1"/>
      <c r="D1" s="1"/>
      <c r="E1" s="1"/>
      <c r="F1" s="1"/>
      <c r="G1" s="1"/>
      <c r="H1" s="1"/>
      <c r="I1" s="1"/>
      <c r="J1" s="1"/>
      <c r="K1" s="1"/>
      <c r="L1" s="1"/>
      <c r="M1" s="1"/>
      <c r="N1" s="1"/>
      <c r="O1" s="1"/>
      <c r="P1" s="1"/>
      <c r="Q1" s="1"/>
      <c r="R1" s="1"/>
      <c r="S1" s="1"/>
      <c r="T1" s="1"/>
      <c r="U1" s="1"/>
      <c r="V1" s="1"/>
      <c r="W1" s="1"/>
      <c r="X1" s="1"/>
      <c r="Y1" s="1"/>
      <c r="Z1" s="1"/>
    </row>
    <row r="2">
      <c r="A2" s="1"/>
      <c r="B2" s="88" t="s">
        <v>249</v>
      </c>
      <c r="C2" s="1"/>
      <c r="D2" s="1"/>
      <c r="E2" s="1"/>
      <c r="F2" s="1"/>
      <c r="G2" s="1"/>
      <c r="H2" s="1"/>
      <c r="I2" s="1"/>
      <c r="J2" s="1"/>
      <c r="K2" s="1"/>
      <c r="L2" s="1"/>
      <c r="M2" s="1"/>
      <c r="N2" s="1"/>
      <c r="O2" s="1"/>
      <c r="P2" s="1"/>
      <c r="Q2" s="1"/>
      <c r="R2" s="1"/>
      <c r="S2" s="1"/>
      <c r="T2" s="1"/>
      <c r="U2" s="1"/>
      <c r="V2" s="1"/>
      <c r="W2" s="1"/>
      <c r="X2" s="1"/>
      <c r="Y2" s="1"/>
      <c r="Z2" s="1"/>
    </row>
    <row r="3">
      <c r="A3" s="1"/>
      <c r="B3" s="87"/>
      <c r="C3" s="1"/>
      <c r="D3" s="1"/>
      <c r="E3" s="1"/>
      <c r="F3" s="1"/>
      <c r="G3" s="1"/>
      <c r="H3" s="1"/>
      <c r="I3" s="1"/>
      <c r="J3" s="1"/>
      <c r="K3" s="1"/>
      <c r="L3" s="1"/>
      <c r="M3" s="1"/>
      <c r="N3" s="1"/>
      <c r="O3" s="1"/>
      <c r="P3" s="1"/>
      <c r="Q3" s="1"/>
      <c r="R3" s="1"/>
      <c r="S3" s="1"/>
      <c r="T3" s="1"/>
      <c r="U3" s="1"/>
      <c r="V3" s="1"/>
      <c r="W3" s="1"/>
      <c r="X3" s="1"/>
      <c r="Y3" s="1"/>
      <c r="Z3" s="1"/>
    </row>
    <row r="4" ht="87.75" customHeight="1">
      <c r="A4" s="1"/>
      <c r="B4" s="89" t="s">
        <v>250</v>
      </c>
      <c r="C4" s="1"/>
      <c r="D4" s="1"/>
      <c r="E4" s="1"/>
      <c r="F4" s="1"/>
      <c r="G4" s="1"/>
      <c r="H4" s="1"/>
      <c r="I4" s="1"/>
      <c r="J4" s="1"/>
      <c r="K4" s="1"/>
      <c r="L4" s="1"/>
      <c r="M4" s="1"/>
      <c r="N4" s="1"/>
      <c r="O4" s="1"/>
      <c r="P4" s="1"/>
      <c r="Q4" s="1"/>
      <c r="R4" s="1"/>
      <c r="S4" s="1"/>
      <c r="T4" s="1"/>
      <c r="U4" s="1"/>
      <c r="V4" s="1"/>
      <c r="W4" s="1"/>
      <c r="X4" s="1"/>
      <c r="Y4" s="1"/>
      <c r="Z4" s="1"/>
    </row>
    <row r="5">
      <c r="A5" s="1"/>
      <c r="B5" s="87"/>
      <c r="C5" s="1"/>
      <c r="D5" s="1"/>
      <c r="E5" s="1"/>
      <c r="F5" s="1"/>
      <c r="G5" s="1"/>
      <c r="H5" s="1"/>
      <c r="I5" s="1"/>
      <c r="J5" s="1"/>
      <c r="K5" s="1"/>
      <c r="L5" s="1"/>
      <c r="M5" s="1"/>
      <c r="N5" s="1"/>
      <c r="O5" s="1"/>
      <c r="P5" s="1"/>
      <c r="Q5" s="1"/>
      <c r="R5" s="1"/>
      <c r="S5" s="1"/>
      <c r="T5" s="1"/>
      <c r="U5" s="1"/>
      <c r="V5" s="1"/>
      <c r="W5" s="1"/>
      <c r="X5" s="1"/>
      <c r="Y5" s="1"/>
      <c r="Z5" s="1"/>
    </row>
    <row r="6">
      <c r="A6" s="1"/>
      <c r="B6" s="89" t="s">
        <v>251</v>
      </c>
      <c r="C6" s="1"/>
      <c r="D6" s="1"/>
      <c r="E6" s="1"/>
      <c r="F6" s="1"/>
      <c r="G6" s="1"/>
      <c r="H6" s="1"/>
      <c r="I6" s="1"/>
      <c r="J6" s="1"/>
      <c r="K6" s="1"/>
      <c r="L6" s="1"/>
      <c r="M6" s="1"/>
      <c r="N6" s="1"/>
      <c r="O6" s="1"/>
      <c r="P6" s="1"/>
      <c r="Q6" s="1"/>
      <c r="R6" s="1"/>
      <c r="S6" s="1"/>
      <c r="T6" s="1"/>
      <c r="U6" s="1"/>
      <c r="V6" s="1"/>
      <c r="W6" s="1"/>
      <c r="X6" s="1"/>
      <c r="Y6" s="1"/>
      <c r="Z6" s="1"/>
    </row>
    <row r="7">
      <c r="A7" s="1"/>
      <c r="B7" s="87"/>
      <c r="C7" s="1"/>
      <c r="D7" s="1"/>
      <c r="E7" s="1"/>
      <c r="F7" s="1"/>
      <c r="G7" s="1"/>
      <c r="H7" s="1"/>
      <c r="I7" s="1"/>
      <c r="J7" s="1"/>
      <c r="K7" s="1"/>
      <c r="L7" s="1"/>
      <c r="M7" s="1"/>
      <c r="N7" s="1"/>
      <c r="O7" s="1"/>
      <c r="P7" s="1"/>
      <c r="Q7" s="1"/>
      <c r="R7" s="1"/>
      <c r="S7" s="1"/>
      <c r="T7" s="1"/>
      <c r="U7" s="1"/>
      <c r="V7" s="1"/>
      <c r="W7" s="1"/>
      <c r="X7" s="1"/>
      <c r="Y7" s="1"/>
      <c r="Z7" s="1"/>
    </row>
    <row r="8">
      <c r="A8" s="1"/>
      <c r="B8" s="88" t="s">
        <v>252</v>
      </c>
      <c r="C8" s="1"/>
      <c r="D8" s="1"/>
      <c r="E8" s="1"/>
      <c r="F8" s="1"/>
      <c r="G8" s="1"/>
      <c r="H8" s="1"/>
      <c r="I8" s="1"/>
      <c r="J8" s="1"/>
      <c r="K8" s="1"/>
      <c r="L8" s="1"/>
      <c r="M8" s="1"/>
      <c r="N8" s="1"/>
      <c r="O8" s="1"/>
      <c r="P8" s="1"/>
      <c r="Q8" s="1"/>
      <c r="R8" s="1"/>
      <c r="S8" s="1"/>
      <c r="T8" s="1"/>
      <c r="U8" s="1"/>
      <c r="V8" s="1"/>
      <c r="W8" s="1"/>
      <c r="X8" s="1"/>
      <c r="Y8" s="1"/>
      <c r="Z8" s="1"/>
    </row>
    <row r="9">
      <c r="A9" s="1"/>
      <c r="B9" s="87"/>
      <c r="C9" s="1"/>
      <c r="D9" s="1"/>
      <c r="E9" s="1"/>
      <c r="F9" s="1"/>
      <c r="G9" s="1"/>
      <c r="H9" s="1"/>
      <c r="I9" s="1"/>
      <c r="J9" s="1"/>
      <c r="K9" s="1"/>
      <c r="L9" s="1"/>
      <c r="M9" s="1"/>
      <c r="N9" s="1"/>
      <c r="O9" s="1"/>
      <c r="P9" s="1"/>
      <c r="Q9" s="1"/>
      <c r="R9" s="1"/>
      <c r="S9" s="1"/>
      <c r="T9" s="1"/>
      <c r="U9" s="1"/>
      <c r="V9" s="1"/>
      <c r="W9" s="1"/>
      <c r="X9" s="1"/>
      <c r="Y9" s="1"/>
      <c r="Z9" s="1"/>
    </row>
    <row r="10">
      <c r="A10" s="1"/>
      <c r="B10" s="89" t="s">
        <v>253</v>
      </c>
      <c r="C10" s="1"/>
      <c r="D10" s="1"/>
      <c r="E10" s="1"/>
      <c r="F10" s="1"/>
      <c r="G10" s="1"/>
      <c r="H10" s="1"/>
      <c r="I10" s="1"/>
      <c r="J10" s="1"/>
      <c r="K10" s="1"/>
      <c r="L10" s="1"/>
      <c r="M10" s="1"/>
      <c r="N10" s="1"/>
      <c r="O10" s="1"/>
      <c r="P10" s="1"/>
      <c r="Q10" s="1"/>
      <c r="R10" s="1"/>
      <c r="S10" s="1"/>
      <c r="T10" s="1"/>
      <c r="U10" s="1"/>
      <c r="V10" s="1"/>
      <c r="W10" s="1"/>
      <c r="X10" s="1"/>
      <c r="Y10" s="1"/>
      <c r="Z10" s="1"/>
    </row>
    <row r="11">
      <c r="A11" s="1"/>
      <c r="B11" s="87"/>
      <c r="C11" s="1"/>
      <c r="D11" s="1"/>
      <c r="E11" s="1"/>
      <c r="F11" s="1"/>
      <c r="G11" s="1"/>
      <c r="H11" s="1"/>
      <c r="I11" s="1"/>
      <c r="J11" s="1"/>
      <c r="K11" s="1"/>
      <c r="L11" s="1"/>
      <c r="M11" s="1"/>
      <c r="N11" s="1"/>
      <c r="O11" s="1"/>
      <c r="P11" s="1"/>
      <c r="Q11" s="1"/>
      <c r="R11" s="1"/>
      <c r="S11" s="1"/>
      <c r="T11" s="1"/>
      <c r="U11" s="1"/>
      <c r="V11" s="1"/>
      <c r="W11" s="1"/>
      <c r="X11" s="1"/>
      <c r="Y11" s="1"/>
      <c r="Z11" s="1"/>
    </row>
    <row r="12">
      <c r="A12" s="1"/>
      <c r="B12" s="3" t="s">
        <v>254</v>
      </c>
      <c r="C12" s="1"/>
      <c r="D12" s="1"/>
      <c r="E12" s="1"/>
      <c r="F12" s="1"/>
      <c r="G12" s="1"/>
      <c r="H12" s="1"/>
      <c r="I12" s="1"/>
      <c r="J12" s="1"/>
      <c r="K12" s="1"/>
      <c r="L12" s="1"/>
      <c r="M12" s="1"/>
      <c r="N12" s="1"/>
      <c r="O12" s="1"/>
      <c r="P12" s="1"/>
      <c r="Q12" s="1"/>
      <c r="R12" s="1"/>
      <c r="S12" s="1"/>
      <c r="T12" s="1"/>
      <c r="U12" s="1"/>
      <c r="V12" s="1"/>
      <c r="W12" s="1"/>
      <c r="X12" s="1"/>
      <c r="Y12" s="1"/>
      <c r="Z12" s="1"/>
    </row>
    <row r="13">
      <c r="A13" s="1"/>
      <c r="B13" s="3"/>
      <c r="C13" s="1"/>
      <c r="D13" s="1"/>
      <c r="E13" s="1"/>
      <c r="F13" s="1"/>
      <c r="G13" s="1"/>
      <c r="H13" s="1"/>
      <c r="I13" s="1"/>
      <c r="J13" s="1"/>
      <c r="K13" s="1"/>
      <c r="L13" s="1"/>
      <c r="M13" s="1"/>
      <c r="N13" s="1"/>
      <c r="O13" s="1"/>
      <c r="P13" s="1"/>
      <c r="Q13" s="1"/>
      <c r="R13" s="1"/>
      <c r="S13" s="1"/>
      <c r="T13" s="1"/>
      <c r="U13" s="1"/>
      <c r="V13" s="1"/>
      <c r="W13" s="1"/>
      <c r="X13" s="1"/>
      <c r="Y13" s="1"/>
      <c r="Z13" s="1"/>
    </row>
    <row r="14">
      <c r="A14" s="1"/>
      <c r="B14" s="89" t="s">
        <v>255</v>
      </c>
      <c r="C14" s="1"/>
      <c r="D14" s="1"/>
      <c r="E14" s="1"/>
      <c r="F14" s="1"/>
      <c r="G14" s="1"/>
      <c r="H14" s="1"/>
      <c r="I14" s="1"/>
      <c r="J14" s="1"/>
      <c r="K14" s="1"/>
      <c r="L14" s="1"/>
      <c r="M14" s="1"/>
      <c r="N14" s="1"/>
      <c r="O14" s="1"/>
      <c r="P14" s="1"/>
      <c r="Q14" s="1"/>
      <c r="R14" s="1"/>
      <c r="S14" s="1"/>
      <c r="T14" s="1"/>
      <c r="U14" s="1"/>
      <c r="V14" s="1"/>
      <c r="W14" s="1"/>
      <c r="X14" s="1"/>
      <c r="Y14" s="1"/>
      <c r="Z14" s="1"/>
    </row>
    <row r="15">
      <c r="A15" s="1"/>
      <c r="B15" s="3"/>
      <c r="C15" s="1"/>
      <c r="D15" s="1"/>
      <c r="E15" s="1"/>
      <c r="F15" s="1"/>
      <c r="G15" s="1"/>
      <c r="H15" s="1"/>
      <c r="I15" s="1"/>
      <c r="J15" s="1"/>
      <c r="K15" s="1"/>
      <c r="L15" s="1"/>
      <c r="M15" s="1"/>
      <c r="N15" s="1"/>
      <c r="O15" s="1"/>
      <c r="P15" s="1"/>
      <c r="Q15" s="1"/>
      <c r="R15" s="1"/>
      <c r="S15" s="1"/>
      <c r="T15" s="1"/>
      <c r="U15" s="1"/>
      <c r="V15" s="1"/>
      <c r="W15" s="1"/>
      <c r="X15" s="1"/>
      <c r="Y15" s="1"/>
      <c r="Z15" s="1"/>
    </row>
    <row r="16">
      <c r="A16" s="1"/>
      <c r="B16" s="3" t="s">
        <v>33</v>
      </c>
      <c r="C16" s="1"/>
      <c r="D16" s="1"/>
      <c r="E16" s="1"/>
      <c r="F16" s="1"/>
      <c r="G16" s="1"/>
      <c r="H16" s="1"/>
      <c r="I16" s="1"/>
      <c r="J16" s="1"/>
      <c r="K16" s="1"/>
      <c r="L16" s="1"/>
      <c r="M16" s="1"/>
      <c r="N16" s="1"/>
      <c r="O16" s="1"/>
      <c r="P16" s="1"/>
      <c r="Q16" s="1"/>
      <c r="R16" s="1"/>
      <c r="S16" s="1"/>
      <c r="T16" s="1"/>
      <c r="U16" s="1"/>
      <c r="V16" s="1"/>
      <c r="W16" s="1"/>
      <c r="X16" s="1"/>
      <c r="Y16" s="1"/>
      <c r="Z16" s="1"/>
    </row>
    <row r="17">
      <c r="A17" s="1"/>
      <c r="B17" s="1"/>
      <c r="C17" s="1"/>
      <c r="D17" s="1"/>
      <c r="E17" s="1"/>
      <c r="F17" s="1"/>
      <c r="G17" s="1"/>
      <c r="H17" s="1"/>
      <c r="I17" s="1"/>
      <c r="J17" s="1"/>
      <c r="K17" s="1"/>
      <c r="L17" s="1"/>
      <c r="M17" s="1"/>
      <c r="N17" s="1"/>
      <c r="O17" s="1"/>
      <c r="P17" s="1"/>
      <c r="Q17" s="1"/>
      <c r="R17" s="1"/>
      <c r="S17" s="1"/>
      <c r="T17" s="1"/>
      <c r="U17" s="1"/>
      <c r="V17" s="1"/>
      <c r="W17" s="1"/>
      <c r="X17" s="1"/>
      <c r="Y17" s="1"/>
      <c r="Z17" s="1"/>
    </row>
    <row r="18">
      <c r="A18" s="1"/>
      <c r="B18" s="89" t="s">
        <v>256</v>
      </c>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88" t="s">
        <v>77</v>
      </c>
      <c r="C20" s="1"/>
      <c r="D20" s="1"/>
      <c r="E20" s="1"/>
      <c r="F20" s="1"/>
      <c r="G20" s="1"/>
      <c r="H20" s="1"/>
      <c r="I20" s="1"/>
      <c r="J20" s="1"/>
      <c r="K20" s="1"/>
      <c r="L20" s="1"/>
      <c r="M20" s="1"/>
      <c r="N20" s="1"/>
      <c r="O20" s="1"/>
      <c r="P20" s="1"/>
      <c r="Q20" s="1"/>
      <c r="R20" s="1"/>
      <c r="S20" s="1"/>
      <c r="T20" s="1"/>
      <c r="U20" s="1"/>
      <c r="V20" s="1"/>
      <c r="W20" s="1"/>
      <c r="X20" s="1"/>
      <c r="Y20" s="1"/>
      <c r="Z20" s="1"/>
    </row>
    <row r="21">
      <c r="A21" s="1"/>
      <c r="B21" s="87"/>
      <c r="C21" s="1"/>
      <c r="D21" s="1"/>
      <c r="E21" s="1"/>
      <c r="F21" s="1"/>
      <c r="G21" s="1"/>
      <c r="H21" s="1"/>
      <c r="I21" s="1"/>
      <c r="J21" s="1"/>
      <c r="K21" s="1"/>
      <c r="L21" s="1"/>
      <c r="M21" s="1"/>
      <c r="N21" s="1"/>
      <c r="O21" s="1"/>
      <c r="P21" s="1"/>
      <c r="Q21" s="1"/>
      <c r="R21" s="1"/>
      <c r="S21" s="1"/>
      <c r="T21" s="1"/>
      <c r="U21" s="1"/>
      <c r="V21" s="1"/>
      <c r="W21" s="1"/>
      <c r="X21" s="1"/>
      <c r="Y21" s="1"/>
      <c r="Z21" s="1"/>
    </row>
    <row r="22">
      <c r="A22" s="1"/>
      <c r="B22" s="87" t="s">
        <v>257</v>
      </c>
      <c r="C22" s="1"/>
      <c r="D22" s="1"/>
      <c r="E22" s="1"/>
      <c r="F22" s="1"/>
      <c r="G22" s="1"/>
      <c r="H22" s="1"/>
      <c r="I22" s="1"/>
      <c r="J22" s="1"/>
      <c r="K22" s="1"/>
      <c r="L22" s="1"/>
      <c r="M22" s="1"/>
      <c r="N22" s="1"/>
      <c r="O22" s="1"/>
      <c r="P22" s="1"/>
      <c r="Q22" s="1"/>
      <c r="R22" s="1"/>
      <c r="S22" s="1"/>
      <c r="T22" s="1"/>
      <c r="U22" s="1"/>
      <c r="V22" s="1"/>
      <c r="W22" s="1"/>
      <c r="X22" s="1"/>
      <c r="Y22" s="1"/>
      <c r="Z22" s="1"/>
    </row>
    <row r="23">
      <c r="A23" s="1"/>
      <c r="B23" s="87"/>
      <c r="C23" s="1"/>
      <c r="D23" s="1"/>
      <c r="E23" s="1"/>
      <c r="F23" s="1"/>
      <c r="G23" s="1"/>
      <c r="H23" s="1"/>
      <c r="I23" s="1"/>
      <c r="J23" s="1"/>
      <c r="K23" s="1"/>
      <c r="L23" s="1"/>
      <c r="M23" s="1"/>
      <c r="N23" s="1"/>
      <c r="O23" s="1"/>
      <c r="P23" s="1"/>
      <c r="Q23" s="1"/>
      <c r="R23" s="1"/>
      <c r="S23" s="1"/>
      <c r="T23" s="1"/>
      <c r="U23" s="1"/>
      <c r="V23" s="1"/>
      <c r="W23" s="1"/>
      <c r="X23" s="1"/>
      <c r="Y23" s="1"/>
      <c r="Z23" s="1"/>
    </row>
    <row r="24">
      <c r="A24" s="1"/>
      <c r="B24" s="3" t="s">
        <v>147</v>
      </c>
      <c r="C24" s="1"/>
      <c r="D24" s="1"/>
      <c r="E24" s="1"/>
      <c r="F24" s="1"/>
      <c r="G24" s="1"/>
      <c r="H24" s="1"/>
      <c r="I24" s="1"/>
      <c r="J24" s="1"/>
      <c r="K24" s="1"/>
      <c r="L24" s="1"/>
      <c r="M24" s="1"/>
      <c r="N24" s="1"/>
      <c r="O24" s="1"/>
      <c r="P24" s="1"/>
      <c r="Q24" s="1"/>
      <c r="R24" s="1"/>
      <c r="S24" s="1"/>
      <c r="T24" s="1"/>
      <c r="U24" s="1"/>
      <c r="V24" s="1"/>
      <c r="W24" s="1"/>
      <c r="X24" s="1"/>
      <c r="Y24" s="1"/>
      <c r="Z24" s="1"/>
    </row>
    <row r="25">
      <c r="A25" s="1"/>
      <c r="B25" s="1"/>
      <c r="C25" s="1"/>
      <c r="D25" s="1"/>
      <c r="E25" s="1"/>
      <c r="F25" s="1"/>
      <c r="G25" s="1"/>
      <c r="H25" s="1"/>
      <c r="I25" s="1"/>
      <c r="J25" s="1"/>
      <c r="K25" s="1"/>
      <c r="L25" s="1"/>
      <c r="M25" s="1"/>
      <c r="N25" s="1"/>
      <c r="O25" s="1"/>
      <c r="P25" s="1"/>
      <c r="Q25" s="1"/>
      <c r="R25" s="1"/>
      <c r="S25" s="1"/>
      <c r="T25" s="1"/>
      <c r="U25" s="1"/>
      <c r="V25" s="1"/>
      <c r="W25" s="1"/>
      <c r="X25" s="1"/>
      <c r="Y25" s="1"/>
      <c r="Z25" s="1"/>
    </row>
    <row r="26">
      <c r="A26" s="1"/>
      <c r="B26" s="87" t="s">
        <v>258</v>
      </c>
      <c r="C26" s="1"/>
      <c r="D26" s="1"/>
      <c r="E26" s="1"/>
      <c r="F26" s="1"/>
      <c r="G26" s="1"/>
      <c r="H26" s="1"/>
      <c r="I26" s="1"/>
      <c r="J26" s="1"/>
      <c r="K26" s="1"/>
      <c r="L26" s="1"/>
      <c r="M26" s="1"/>
      <c r="N26" s="1"/>
      <c r="O26" s="1"/>
      <c r="P26" s="1"/>
      <c r="Q26" s="1"/>
      <c r="R26" s="1"/>
      <c r="S26" s="1"/>
      <c r="T26" s="1"/>
      <c r="U26" s="1"/>
      <c r="V26" s="1"/>
      <c r="W26" s="1"/>
      <c r="X26" s="1"/>
      <c r="Y26" s="1"/>
      <c r="Z26" s="1"/>
    </row>
    <row r="27">
      <c r="A27" s="1"/>
      <c r="B27" s="1"/>
      <c r="C27" s="1"/>
      <c r="D27" s="1"/>
      <c r="E27" s="1"/>
      <c r="F27" s="1"/>
      <c r="G27" s="1"/>
      <c r="H27" s="1"/>
      <c r="I27" s="1"/>
      <c r="J27" s="1"/>
      <c r="K27" s="1"/>
      <c r="L27" s="1"/>
      <c r="M27" s="1"/>
      <c r="N27" s="1"/>
      <c r="O27" s="1"/>
      <c r="P27" s="1"/>
      <c r="Q27" s="1"/>
      <c r="R27" s="1"/>
      <c r="S27" s="1"/>
      <c r="T27" s="1"/>
      <c r="U27" s="1"/>
      <c r="V27" s="1"/>
      <c r="W27" s="1"/>
      <c r="X27" s="1"/>
      <c r="Y27" s="1"/>
      <c r="Z27" s="1"/>
    </row>
    <row r="28">
      <c r="A28" s="1"/>
      <c r="B28" s="3" t="s">
        <v>259</v>
      </c>
      <c r="C28" s="1"/>
      <c r="D28" s="1"/>
      <c r="E28" s="1"/>
      <c r="F28" s="1"/>
      <c r="G28" s="1"/>
      <c r="H28" s="1"/>
      <c r="I28" s="1"/>
      <c r="J28" s="1"/>
      <c r="K28" s="1"/>
      <c r="L28" s="1"/>
      <c r="M28" s="1"/>
      <c r="N28" s="1"/>
      <c r="O28" s="1"/>
      <c r="P28" s="1"/>
      <c r="Q28" s="1"/>
      <c r="R28" s="1"/>
      <c r="S28" s="1"/>
      <c r="T28" s="1"/>
      <c r="U28" s="1"/>
      <c r="V28" s="1"/>
      <c r="W28" s="1"/>
      <c r="X28" s="1"/>
      <c r="Y28" s="1"/>
      <c r="Z28" s="1"/>
    </row>
    <row r="29">
      <c r="A29" s="1"/>
      <c r="B29" s="87"/>
      <c r="C29" s="1"/>
      <c r="D29" s="1"/>
      <c r="E29" s="1"/>
      <c r="F29" s="1"/>
      <c r="G29" s="1"/>
      <c r="H29" s="1"/>
      <c r="I29" s="1"/>
      <c r="J29" s="1"/>
      <c r="K29" s="1"/>
      <c r="L29" s="1"/>
      <c r="M29" s="1"/>
      <c r="N29" s="1"/>
      <c r="O29" s="1"/>
      <c r="P29" s="1"/>
      <c r="Q29" s="1"/>
      <c r="R29" s="1"/>
      <c r="S29" s="1"/>
      <c r="T29" s="1"/>
      <c r="U29" s="1"/>
      <c r="V29" s="1"/>
      <c r="W29" s="1"/>
      <c r="X29" s="1"/>
      <c r="Y29" s="1"/>
      <c r="Z29" s="1"/>
    </row>
    <row r="30">
      <c r="A30" s="1"/>
      <c r="B30" s="87" t="s">
        <v>260</v>
      </c>
      <c r="C30" s="1"/>
      <c r="D30" s="1"/>
      <c r="E30" s="1"/>
      <c r="F30" s="1"/>
      <c r="G30" s="1"/>
      <c r="H30" s="1"/>
      <c r="I30" s="1"/>
      <c r="J30" s="1"/>
      <c r="K30" s="1"/>
      <c r="L30" s="1"/>
      <c r="M30" s="1"/>
      <c r="N30" s="1"/>
      <c r="O30" s="1"/>
      <c r="P30" s="1"/>
      <c r="Q30" s="1"/>
      <c r="R30" s="1"/>
      <c r="S30" s="1"/>
      <c r="T30" s="1"/>
      <c r="U30" s="1"/>
      <c r="V30" s="1"/>
      <c r="W30" s="1"/>
      <c r="X30" s="1"/>
      <c r="Y30" s="1"/>
      <c r="Z30" s="1"/>
    </row>
    <row r="31">
      <c r="A31" s="1"/>
      <c r="B31" s="87"/>
      <c r="C31" s="1"/>
      <c r="D31" s="1"/>
      <c r="E31" s="1"/>
      <c r="F31" s="1"/>
      <c r="G31" s="1"/>
      <c r="H31" s="1"/>
      <c r="I31" s="1"/>
      <c r="J31" s="1"/>
      <c r="K31" s="1"/>
      <c r="L31" s="1"/>
      <c r="M31" s="1"/>
      <c r="N31" s="1"/>
      <c r="O31" s="1"/>
      <c r="P31" s="1"/>
      <c r="Q31" s="1"/>
      <c r="R31" s="1"/>
      <c r="S31" s="1"/>
      <c r="T31" s="1"/>
      <c r="U31" s="1"/>
      <c r="V31" s="1"/>
      <c r="W31" s="1"/>
      <c r="X31" s="1"/>
      <c r="Y31" s="1"/>
      <c r="Z31" s="1"/>
    </row>
    <row r="32">
      <c r="A32" s="1"/>
      <c r="B32" s="88" t="s">
        <v>261</v>
      </c>
      <c r="C32" s="1"/>
      <c r="D32" s="1"/>
      <c r="E32" s="1"/>
      <c r="F32" s="1"/>
      <c r="G32" s="1"/>
      <c r="H32" s="1"/>
      <c r="I32" s="1"/>
      <c r="J32" s="1"/>
      <c r="K32" s="1"/>
      <c r="L32" s="1"/>
      <c r="M32" s="1"/>
      <c r="N32" s="1"/>
      <c r="O32" s="1"/>
      <c r="P32" s="1"/>
      <c r="Q32" s="1"/>
      <c r="R32" s="1"/>
      <c r="S32" s="1"/>
      <c r="T32" s="1"/>
      <c r="U32" s="1"/>
      <c r="V32" s="1"/>
      <c r="W32" s="1"/>
      <c r="X32" s="1"/>
      <c r="Y32" s="1"/>
      <c r="Z32" s="1"/>
    </row>
    <row r="33">
      <c r="A33" s="1"/>
      <c r="B33" s="87"/>
      <c r="C33" s="1"/>
      <c r="D33" s="1"/>
      <c r="E33" s="1"/>
      <c r="F33" s="1"/>
      <c r="G33" s="1"/>
      <c r="H33" s="1"/>
      <c r="I33" s="1"/>
      <c r="J33" s="1"/>
      <c r="K33" s="1"/>
      <c r="L33" s="1"/>
      <c r="M33" s="1"/>
      <c r="N33" s="1"/>
      <c r="O33" s="1"/>
      <c r="P33" s="1"/>
      <c r="Q33" s="1"/>
      <c r="R33" s="1"/>
      <c r="S33" s="1"/>
      <c r="T33" s="1"/>
      <c r="U33" s="1"/>
      <c r="V33" s="1"/>
      <c r="W33" s="1"/>
      <c r="X33" s="1"/>
      <c r="Y33" s="1"/>
      <c r="Z33" s="1"/>
    </row>
    <row r="34">
      <c r="A34" s="1"/>
      <c r="B34" s="89" t="s">
        <v>262</v>
      </c>
      <c r="C34" s="1"/>
      <c r="D34" s="1"/>
      <c r="E34" s="1"/>
      <c r="F34" s="1"/>
      <c r="G34" s="1"/>
      <c r="H34" s="1"/>
      <c r="I34" s="1"/>
      <c r="J34" s="1"/>
      <c r="K34" s="1"/>
      <c r="L34" s="1"/>
      <c r="M34" s="1"/>
      <c r="N34" s="1"/>
      <c r="O34" s="1"/>
      <c r="P34" s="1"/>
      <c r="Q34" s="1"/>
      <c r="R34" s="1"/>
      <c r="S34" s="1"/>
      <c r="T34" s="1"/>
      <c r="U34" s="1"/>
      <c r="V34" s="1"/>
      <c r="W34" s="1"/>
      <c r="X34" s="1"/>
      <c r="Y34" s="1"/>
      <c r="Z34" s="1"/>
    </row>
    <row r="35">
      <c r="A35" s="1"/>
      <c r="B35" s="87"/>
      <c r="C35" s="1"/>
      <c r="D35" s="1"/>
      <c r="E35" s="1"/>
      <c r="F35" s="1"/>
      <c r="G35" s="1"/>
      <c r="H35" s="1"/>
      <c r="I35" s="1"/>
      <c r="J35" s="1"/>
      <c r="K35" s="1"/>
      <c r="L35" s="1"/>
      <c r="M35" s="1"/>
      <c r="N35" s="1"/>
      <c r="O35" s="1"/>
      <c r="P35" s="1"/>
      <c r="Q35" s="1"/>
      <c r="R35" s="1"/>
      <c r="S35" s="1"/>
      <c r="T35" s="1"/>
      <c r="U35" s="1"/>
      <c r="V35" s="1"/>
      <c r="W35" s="1"/>
      <c r="X35" s="1"/>
      <c r="Y35" s="1"/>
      <c r="Z35" s="1"/>
    </row>
    <row r="36">
      <c r="A36" s="1"/>
      <c r="B36" s="87"/>
      <c r="C36" s="1"/>
      <c r="D36" s="1"/>
      <c r="E36" s="1"/>
      <c r="F36" s="1"/>
      <c r="G36" s="1"/>
      <c r="H36" s="1"/>
      <c r="I36" s="1"/>
      <c r="J36" s="1"/>
      <c r="K36" s="1"/>
      <c r="L36" s="1"/>
      <c r="M36" s="1"/>
      <c r="N36" s="1"/>
      <c r="O36" s="1"/>
      <c r="P36" s="1"/>
      <c r="Q36" s="1"/>
      <c r="R36" s="1"/>
      <c r="S36" s="1"/>
      <c r="T36" s="1"/>
      <c r="U36" s="1"/>
      <c r="V36" s="1"/>
      <c r="W36" s="1"/>
      <c r="X36" s="1"/>
      <c r="Y36" s="1"/>
      <c r="Z36" s="1"/>
    </row>
    <row r="37">
      <c r="A37" s="1"/>
      <c r="B37" s="1"/>
      <c r="C37" s="1"/>
      <c r="D37" s="1"/>
      <c r="E37" s="1"/>
      <c r="F37" s="1"/>
      <c r="G37" s="1"/>
      <c r="H37" s="1"/>
      <c r="I37" s="1"/>
      <c r="J37" s="1"/>
      <c r="K37" s="1"/>
      <c r="L37" s="1"/>
      <c r="M37" s="1"/>
      <c r="N37" s="1"/>
      <c r="O37" s="1"/>
      <c r="P37" s="1"/>
      <c r="Q37" s="1"/>
      <c r="R37" s="1"/>
      <c r="S37" s="1"/>
      <c r="T37" s="1"/>
      <c r="U37" s="1"/>
      <c r="V37" s="1"/>
      <c r="W37" s="1"/>
      <c r="X37" s="1"/>
      <c r="Y37" s="1"/>
      <c r="Z37" s="1"/>
    </row>
    <row r="38">
      <c r="A38" s="1"/>
      <c r="B38" s="1"/>
      <c r="C38" s="1"/>
      <c r="D38" s="1"/>
      <c r="E38" s="1"/>
      <c r="F38" s="1"/>
      <c r="G38" s="1"/>
      <c r="H38" s="1"/>
      <c r="I38" s="1"/>
      <c r="J38" s="1"/>
      <c r="K38" s="1"/>
      <c r="L38" s="1"/>
      <c r="M38" s="1"/>
      <c r="N38" s="1"/>
      <c r="O38" s="1"/>
      <c r="P38" s="1"/>
      <c r="Q38" s="1"/>
      <c r="R38" s="1"/>
      <c r="S38" s="1"/>
      <c r="T38" s="1"/>
      <c r="U38" s="1"/>
      <c r="V38" s="1"/>
      <c r="W38" s="1"/>
      <c r="X38" s="1"/>
      <c r="Y38" s="1"/>
      <c r="Z38" s="1"/>
    </row>
    <row r="39">
      <c r="A39" s="1"/>
      <c r="C39" s="1"/>
      <c r="D39" s="1"/>
      <c r="E39" s="1"/>
      <c r="F39" s="1"/>
      <c r="G39" s="1"/>
      <c r="H39" s="1"/>
      <c r="I39" s="1"/>
      <c r="J39" s="1"/>
      <c r="K39" s="1"/>
      <c r="L39" s="1"/>
      <c r="M39" s="1"/>
      <c r="N39" s="1"/>
      <c r="O39" s="1"/>
      <c r="P39" s="1"/>
      <c r="Q39" s="1"/>
      <c r="R39" s="1"/>
      <c r="S39" s="1"/>
      <c r="T39" s="1"/>
      <c r="U39" s="1"/>
      <c r="V39" s="1"/>
      <c r="W39" s="1"/>
      <c r="X39" s="1"/>
      <c r="Y39" s="1"/>
      <c r="Z39" s="1"/>
    </row>
    <row r="40">
      <c r="A40" s="1"/>
      <c r="B40" s="1"/>
      <c r="C40" s="1"/>
      <c r="D40" s="1"/>
      <c r="E40" s="1"/>
      <c r="F40" s="1"/>
      <c r="G40" s="1"/>
      <c r="H40" s="1"/>
      <c r="I40" s="1"/>
      <c r="J40" s="1"/>
      <c r="K40" s="1"/>
      <c r="L40" s="1"/>
      <c r="M40" s="1"/>
      <c r="N40" s="1"/>
      <c r="O40" s="1"/>
      <c r="P40" s="1"/>
      <c r="Q40" s="1"/>
      <c r="R40" s="1"/>
      <c r="S40" s="1"/>
      <c r="T40" s="1"/>
      <c r="U40" s="1"/>
      <c r="V40" s="1"/>
      <c r="W40" s="1"/>
      <c r="X40" s="1"/>
      <c r="Y40" s="1"/>
      <c r="Z40" s="1"/>
    </row>
    <row r="41">
      <c r="A41" s="1"/>
      <c r="B41" s="1"/>
      <c r="C41" s="1"/>
      <c r="D41" s="1"/>
      <c r="E41" s="1"/>
      <c r="F41" s="1"/>
      <c r="G41" s="1"/>
      <c r="H41" s="1"/>
      <c r="I41" s="1"/>
      <c r="J41" s="1"/>
      <c r="K41" s="1"/>
      <c r="L41" s="1"/>
      <c r="M41" s="1"/>
      <c r="N41" s="1"/>
      <c r="O41" s="1"/>
      <c r="P41" s="1"/>
      <c r="Q41" s="1"/>
      <c r="R41" s="1"/>
      <c r="S41" s="1"/>
      <c r="T41" s="1"/>
      <c r="U41" s="1"/>
      <c r="V41" s="1"/>
      <c r="W41" s="1"/>
      <c r="X41" s="1"/>
      <c r="Y41" s="1"/>
      <c r="Z41" s="1"/>
    </row>
    <row r="42">
      <c r="A42" s="1"/>
      <c r="B42" s="1"/>
      <c r="C42" s="1"/>
      <c r="D42" s="1"/>
      <c r="E42" s="1"/>
      <c r="F42" s="1"/>
      <c r="G42" s="1"/>
      <c r="H42" s="1"/>
      <c r="I42" s="1"/>
      <c r="J42" s="1"/>
      <c r="K42" s="1"/>
      <c r="L42" s="1"/>
      <c r="M42" s="1"/>
      <c r="N42" s="1"/>
      <c r="O42" s="1"/>
      <c r="P42" s="1"/>
      <c r="Q42" s="1"/>
      <c r="R42" s="1"/>
      <c r="S42" s="1"/>
      <c r="T42" s="1"/>
      <c r="U42" s="1"/>
      <c r="V42" s="1"/>
      <c r="W42" s="1"/>
      <c r="X42" s="1"/>
      <c r="Y42" s="1"/>
      <c r="Z42" s="1"/>
    </row>
    <row r="43">
      <c r="A43" s="1"/>
      <c r="B43" s="1"/>
      <c r="C43" s="1"/>
      <c r="D43" s="1"/>
      <c r="E43" s="1"/>
      <c r="F43" s="1"/>
      <c r="G43" s="1"/>
      <c r="H43" s="1"/>
      <c r="I43" s="1"/>
      <c r="J43" s="1"/>
      <c r="K43" s="1"/>
      <c r="L43" s="1"/>
      <c r="M43" s="1"/>
      <c r="N43" s="1"/>
      <c r="O43" s="1"/>
      <c r="P43" s="1"/>
      <c r="Q43" s="1"/>
      <c r="R43" s="1"/>
      <c r="S43" s="1"/>
      <c r="T43" s="1"/>
      <c r="U43" s="1"/>
      <c r="V43" s="1"/>
      <c r="W43" s="1"/>
      <c r="X43" s="1"/>
      <c r="Y43" s="1"/>
      <c r="Z43" s="1"/>
    </row>
    <row r="44">
      <c r="A44" s="1"/>
      <c r="B44" s="1"/>
      <c r="C44" s="1"/>
      <c r="D44" s="1"/>
      <c r="E44" s="1"/>
      <c r="F44" s="1"/>
      <c r="G44" s="1"/>
      <c r="H44" s="1"/>
      <c r="I44" s="1"/>
      <c r="J44" s="1"/>
      <c r="K44" s="1"/>
      <c r="L44" s="1"/>
      <c r="M44" s="1"/>
      <c r="N44" s="1"/>
      <c r="O44" s="1"/>
      <c r="P44" s="1"/>
      <c r="Q44" s="1"/>
      <c r="R44" s="1"/>
      <c r="S44" s="1"/>
      <c r="T44" s="1"/>
      <c r="U44" s="1"/>
      <c r="V44" s="1"/>
      <c r="W44" s="1"/>
      <c r="X44" s="1"/>
      <c r="Y44" s="1"/>
      <c r="Z44" s="1"/>
    </row>
    <row r="45">
      <c r="A45" s="1"/>
      <c r="B45" s="1"/>
      <c r="C45" s="1"/>
      <c r="D45" s="1"/>
      <c r="E45" s="1"/>
      <c r="F45" s="1"/>
      <c r="G45" s="1"/>
      <c r="H45" s="1"/>
      <c r="I45" s="1"/>
      <c r="J45" s="1"/>
      <c r="K45" s="1"/>
      <c r="L45" s="1"/>
      <c r="M45" s="1"/>
      <c r="N45" s="1"/>
      <c r="O45" s="1"/>
      <c r="P45" s="1"/>
      <c r="Q45" s="1"/>
      <c r="R45" s="1"/>
      <c r="S45" s="1"/>
      <c r="T45" s="1"/>
      <c r="U45" s="1"/>
      <c r="V45" s="1"/>
      <c r="W45" s="1"/>
      <c r="X45" s="1"/>
      <c r="Y45" s="1"/>
      <c r="Z45" s="1"/>
    </row>
    <row r="46">
      <c r="A46" s="1"/>
      <c r="B46" s="1"/>
      <c r="C46" s="1"/>
      <c r="D46" s="1"/>
      <c r="E46" s="1"/>
      <c r="F46" s="1"/>
      <c r="G46" s="1"/>
      <c r="H46" s="1"/>
      <c r="I46" s="1"/>
      <c r="J46" s="1"/>
      <c r="K46" s="1"/>
      <c r="L46" s="1"/>
      <c r="M46" s="1"/>
      <c r="N46" s="1"/>
      <c r="O46" s="1"/>
      <c r="P46" s="1"/>
      <c r="Q46" s="1"/>
      <c r="R46" s="1"/>
      <c r="S46" s="1"/>
      <c r="T46" s="1"/>
      <c r="U46" s="1"/>
      <c r="V46" s="1"/>
      <c r="W46" s="1"/>
      <c r="X46" s="1"/>
      <c r="Y46" s="1"/>
      <c r="Z46" s="1"/>
    </row>
    <row r="47">
      <c r="A47" s="1"/>
      <c r="B47" s="1"/>
      <c r="C47" s="1"/>
      <c r="D47" s="1"/>
      <c r="E47" s="1"/>
      <c r="F47" s="1"/>
      <c r="G47" s="1"/>
      <c r="H47" s="1"/>
      <c r="I47" s="1"/>
      <c r="J47" s="1"/>
      <c r="K47" s="1"/>
      <c r="L47" s="1"/>
      <c r="M47" s="1"/>
      <c r="N47" s="1"/>
      <c r="O47" s="1"/>
      <c r="P47" s="1"/>
      <c r="Q47" s="1"/>
      <c r="R47" s="1"/>
      <c r="S47" s="1"/>
      <c r="T47" s="1"/>
      <c r="U47" s="1"/>
      <c r="V47" s="1"/>
      <c r="W47" s="1"/>
      <c r="X47" s="1"/>
      <c r="Y47" s="1"/>
      <c r="Z47" s="1"/>
    </row>
    <row r="48">
      <c r="A48" s="1"/>
      <c r="B48" s="1"/>
      <c r="C48" s="1"/>
      <c r="D48" s="1"/>
      <c r="E48" s="1"/>
      <c r="F48" s="1"/>
      <c r="G48" s="1"/>
      <c r="H48" s="1"/>
      <c r="I48" s="1"/>
      <c r="J48" s="1"/>
      <c r="K48" s="1"/>
      <c r="L48" s="1"/>
      <c r="M48" s="1"/>
      <c r="N48" s="1"/>
      <c r="O48" s="1"/>
      <c r="P48" s="1"/>
      <c r="Q48" s="1"/>
      <c r="R48" s="1"/>
      <c r="S48" s="1"/>
      <c r="T48" s="1"/>
      <c r="U48" s="1"/>
      <c r="V48" s="1"/>
      <c r="W48" s="1"/>
      <c r="X48" s="1"/>
      <c r="Y48" s="1"/>
      <c r="Z48" s="1"/>
    </row>
    <row r="49">
      <c r="A49" s="1"/>
      <c r="B49" s="1"/>
      <c r="C49" s="1"/>
      <c r="D49" s="1"/>
      <c r="E49" s="1"/>
      <c r="F49" s="1"/>
      <c r="G49" s="1"/>
      <c r="H49" s="1"/>
      <c r="I49" s="1"/>
      <c r="J49" s="1"/>
      <c r="K49" s="1"/>
      <c r="L49" s="1"/>
      <c r="M49" s="1"/>
      <c r="N49" s="1"/>
      <c r="O49" s="1"/>
      <c r="P49" s="1"/>
      <c r="Q49" s="1"/>
      <c r="R49" s="1"/>
      <c r="S49" s="1"/>
      <c r="T49" s="1"/>
      <c r="U49" s="1"/>
      <c r="V49" s="1"/>
      <c r="W49" s="1"/>
      <c r="X49" s="1"/>
      <c r="Y49" s="1"/>
      <c r="Z49" s="1"/>
    </row>
    <row r="50">
      <c r="A50" s="1"/>
      <c r="B50" s="1"/>
      <c r="C50" s="1"/>
      <c r="D50" s="1"/>
      <c r="E50" s="1"/>
      <c r="F50" s="1"/>
      <c r="G50" s="1"/>
      <c r="H50" s="1"/>
      <c r="I50" s="1"/>
      <c r="J50" s="1"/>
      <c r="K50" s="1"/>
      <c r="L50" s="1"/>
      <c r="M50" s="1"/>
      <c r="N50" s="1"/>
      <c r="O50" s="1"/>
      <c r="P50" s="1"/>
      <c r="Q50" s="1"/>
      <c r="R50" s="1"/>
      <c r="S50" s="1"/>
      <c r="T50" s="1"/>
      <c r="U50" s="1"/>
      <c r="V50" s="1"/>
      <c r="W50" s="1"/>
      <c r="X50" s="1"/>
      <c r="Y50" s="1"/>
      <c r="Z50" s="1"/>
    </row>
    <row r="51">
      <c r="A51" s="1"/>
      <c r="B51" s="1"/>
      <c r="C51" s="1"/>
      <c r="D51" s="1"/>
      <c r="E51" s="1"/>
      <c r="F51" s="1"/>
      <c r="G51" s="1"/>
      <c r="H51" s="1"/>
      <c r="I51" s="1"/>
      <c r="J51" s="1"/>
      <c r="K51" s="1"/>
      <c r="L51" s="1"/>
      <c r="M51" s="1"/>
      <c r="N51" s="1"/>
      <c r="O51" s="1"/>
      <c r="P51" s="1"/>
      <c r="Q51" s="1"/>
      <c r="R51" s="1"/>
      <c r="S51" s="1"/>
      <c r="T51" s="1"/>
      <c r="U51" s="1"/>
      <c r="V51" s="1"/>
      <c r="W51" s="1"/>
      <c r="X51" s="1"/>
      <c r="Y51" s="1"/>
      <c r="Z51" s="1"/>
    </row>
    <row r="52">
      <c r="A52" s="1"/>
      <c r="B52" s="1"/>
      <c r="C52" s="1"/>
      <c r="D52" s="1"/>
      <c r="E52" s="1"/>
      <c r="F52" s="1"/>
      <c r="G52" s="1"/>
      <c r="H52" s="1"/>
      <c r="I52" s="1"/>
      <c r="J52" s="1"/>
      <c r="K52" s="1"/>
      <c r="L52" s="1"/>
      <c r="M52" s="1"/>
      <c r="N52" s="1"/>
      <c r="O52" s="1"/>
      <c r="P52" s="1"/>
      <c r="Q52" s="1"/>
      <c r="R52" s="1"/>
      <c r="S52" s="1"/>
      <c r="T52" s="1"/>
      <c r="U52" s="1"/>
      <c r="V52" s="1"/>
      <c r="W52" s="1"/>
      <c r="X52" s="1"/>
      <c r="Y52" s="1"/>
      <c r="Z52" s="1"/>
    </row>
    <row r="53">
      <c r="A53" s="1"/>
      <c r="B53" s="1"/>
      <c r="C53" s="1"/>
      <c r="D53" s="1"/>
      <c r="E53" s="1"/>
      <c r="F53" s="1"/>
      <c r="G53" s="1"/>
      <c r="H53" s="1"/>
      <c r="I53" s="1"/>
      <c r="J53" s="1"/>
      <c r="K53" s="1"/>
      <c r="L53" s="1"/>
      <c r="M53" s="1"/>
      <c r="N53" s="1"/>
      <c r="O53" s="1"/>
      <c r="P53" s="1"/>
      <c r="Q53" s="1"/>
      <c r="R53" s="1"/>
      <c r="S53" s="1"/>
      <c r="T53" s="1"/>
      <c r="U53" s="1"/>
      <c r="V53" s="1"/>
      <c r="W53" s="1"/>
      <c r="X53" s="1"/>
      <c r="Y53" s="1"/>
      <c r="Z53" s="1"/>
    </row>
    <row r="54">
      <c r="A54" s="1"/>
      <c r="B54" s="1"/>
      <c r="C54" s="1"/>
      <c r="D54" s="1"/>
      <c r="E54" s="1"/>
      <c r="F54" s="1"/>
      <c r="G54" s="1"/>
      <c r="H54" s="1"/>
      <c r="I54" s="1"/>
      <c r="J54" s="1"/>
      <c r="K54" s="1"/>
      <c r="L54" s="1"/>
      <c r="M54" s="1"/>
      <c r="N54" s="1"/>
      <c r="O54" s="1"/>
      <c r="P54" s="1"/>
      <c r="Q54" s="1"/>
      <c r="R54" s="1"/>
      <c r="S54" s="1"/>
      <c r="T54" s="1"/>
      <c r="U54" s="1"/>
      <c r="V54" s="1"/>
      <c r="W54" s="1"/>
      <c r="X54" s="1"/>
      <c r="Y54" s="1"/>
      <c r="Z54" s="1"/>
    </row>
    <row r="55">
      <c r="A55" s="1"/>
      <c r="B55" s="1"/>
      <c r="C55" s="1"/>
      <c r="D55" s="1"/>
      <c r="E55" s="1"/>
      <c r="F55" s="1"/>
      <c r="G55" s="1"/>
      <c r="H55" s="1"/>
      <c r="I55" s="1"/>
      <c r="J55" s="1"/>
      <c r="K55" s="1"/>
      <c r="L55" s="1"/>
      <c r="M55" s="1"/>
      <c r="N55" s="1"/>
      <c r="O55" s="1"/>
      <c r="P55" s="1"/>
      <c r="Q55" s="1"/>
      <c r="R55" s="1"/>
      <c r="S55" s="1"/>
      <c r="T55" s="1"/>
      <c r="U55" s="1"/>
      <c r="V55" s="1"/>
      <c r="W55" s="1"/>
      <c r="X55" s="1"/>
      <c r="Y55" s="1"/>
      <c r="Z55" s="1"/>
    </row>
    <row r="56">
      <c r="A56" s="1"/>
      <c r="B56" s="1"/>
      <c r="C56" s="1"/>
      <c r="D56" s="1"/>
      <c r="E56" s="1"/>
      <c r="F56" s="1"/>
      <c r="G56" s="1"/>
      <c r="H56" s="1"/>
      <c r="I56" s="1"/>
      <c r="J56" s="1"/>
      <c r="K56" s="1"/>
      <c r="L56" s="1"/>
      <c r="M56" s="1"/>
      <c r="N56" s="1"/>
      <c r="O56" s="1"/>
      <c r="P56" s="1"/>
      <c r="Q56" s="1"/>
      <c r="R56" s="1"/>
      <c r="S56" s="1"/>
      <c r="T56" s="1"/>
      <c r="U56" s="1"/>
      <c r="V56" s="1"/>
      <c r="W56" s="1"/>
      <c r="X56" s="1"/>
      <c r="Y56" s="1"/>
      <c r="Z56" s="1"/>
    </row>
    <row r="57">
      <c r="A57" s="1"/>
      <c r="B57" s="1"/>
      <c r="C57" s="1"/>
      <c r="D57" s="1"/>
      <c r="E57" s="1"/>
      <c r="F57" s="1"/>
      <c r="G57" s="1"/>
      <c r="H57" s="1"/>
      <c r="I57" s="1"/>
      <c r="J57" s="1"/>
      <c r="K57" s="1"/>
      <c r="L57" s="1"/>
      <c r="M57" s="1"/>
      <c r="N57" s="1"/>
      <c r="O57" s="1"/>
      <c r="P57" s="1"/>
      <c r="Q57" s="1"/>
      <c r="R57" s="1"/>
      <c r="S57" s="1"/>
      <c r="T57" s="1"/>
      <c r="U57" s="1"/>
      <c r="V57" s="1"/>
      <c r="W57" s="1"/>
      <c r="X57" s="1"/>
      <c r="Y57" s="1"/>
      <c r="Z57" s="1"/>
    </row>
    <row r="58">
      <c r="A58" s="1"/>
      <c r="B58" s="1"/>
      <c r="C58" s="1"/>
      <c r="D58" s="1"/>
      <c r="E58" s="1"/>
      <c r="F58" s="1"/>
      <c r="G58" s="1"/>
      <c r="H58" s="1"/>
      <c r="I58" s="1"/>
      <c r="J58" s="1"/>
      <c r="K58" s="1"/>
      <c r="L58" s="1"/>
      <c r="M58" s="1"/>
      <c r="N58" s="1"/>
      <c r="O58" s="1"/>
      <c r="P58" s="1"/>
      <c r="Q58" s="1"/>
      <c r="R58" s="1"/>
      <c r="S58" s="1"/>
      <c r="T58" s="1"/>
      <c r="U58" s="1"/>
      <c r="V58" s="1"/>
      <c r="W58" s="1"/>
      <c r="X58" s="1"/>
      <c r="Y58" s="1"/>
      <c r="Z58" s="1"/>
    </row>
    <row r="59">
      <c r="A59" s="1"/>
      <c r="B59" s="1"/>
      <c r="C59" s="1"/>
      <c r="D59" s="1"/>
      <c r="E59" s="1"/>
      <c r="F59" s="1"/>
      <c r="G59" s="1"/>
      <c r="H59" s="1"/>
      <c r="I59" s="1"/>
      <c r="J59" s="1"/>
      <c r="K59" s="1"/>
      <c r="L59" s="1"/>
      <c r="M59" s="1"/>
      <c r="N59" s="1"/>
      <c r="O59" s="1"/>
      <c r="P59" s="1"/>
      <c r="Q59" s="1"/>
      <c r="R59" s="1"/>
      <c r="S59" s="1"/>
      <c r="T59" s="1"/>
      <c r="U59" s="1"/>
      <c r="V59" s="1"/>
      <c r="W59" s="1"/>
      <c r="X59" s="1"/>
      <c r="Y59" s="1"/>
      <c r="Z59" s="1"/>
    </row>
    <row r="60">
      <c r="A60" s="1"/>
      <c r="B60" s="1"/>
      <c r="C60" s="1"/>
      <c r="D60" s="1"/>
      <c r="E60" s="1"/>
      <c r="F60" s="1"/>
      <c r="G60" s="1"/>
      <c r="H60" s="1"/>
      <c r="I60" s="1"/>
      <c r="J60" s="1"/>
      <c r="K60" s="1"/>
      <c r="L60" s="1"/>
      <c r="M60" s="1"/>
      <c r="N60" s="1"/>
      <c r="O60" s="1"/>
      <c r="P60" s="1"/>
      <c r="Q60" s="1"/>
      <c r="R60" s="1"/>
      <c r="S60" s="1"/>
      <c r="T60" s="1"/>
      <c r="U60" s="1"/>
      <c r="V60" s="1"/>
      <c r="W60" s="1"/>
      <c r="X60" s="1"/>
      <c r="Y60" s="1"/>
      <c r="Z60" s="1"/>
    </row>
    <row r="61">
      <c r="A61" s="1"/>
      <c r="B61" s="1"/>
      <c r="C61" s="1"/>
      <c r="D61" s="1"/>
      <c r="E61" s="1"/>
      <c r="F61" s="1"/>
      <c r="G61" s="1"/>
      <c r="H61" s="1"/>
      <c r="I61" s="1"/>
      <c r="J61" s="1"/>
      <c r="K61" s="1"/>
      <c r="L61" s="1"/>
      <c r="M61" s="1"/>
      <c r="N61" s="1"/>
      <c r="O61" s="1"/>
      <c r="P61" s="1"/>
      <c r="Q61" s="1"/>
      <c r="R61" s="1"/>
      <c r="S61" s="1"/>
      <c r="T61" s="1"/>
      <c r="U61" s="1"/>
      <c r="V61" s="1"/>
      <c r="W61" s="1"/>
      <c r="X61" s="1"/>
      <c r="Y61" s="1"/>
      <c r="Z61" s="1"/>
    </row>
    <row r="62">
      <c r="A62" s="1"/>
      <c r="B62" s="1"/>
      <c r="C62" s="1"/>
      <c r="D62" s="1"/>
      <c r="E62" s="1"/>
      <c r="F62" s="1"/>
      <c r="G62" s="1"/>
      <c r="H62" s="1"/>
      <c r="I62" s="1"/>
      <c r="J62" s="1"/>
      <c r="K62" s="1"/>
      <c r="L62" s="1"/>
      <c r="M62" s="1"/>
      <c r="N62" s="1"/>
      <c r="O62" s="1"/>
      <c r="P62" s="1"/>
      <c r="Q62" s="1"/>
      <c r="R62" s="1"/>
      <c r="S62" s="1"/>
      <c r="T62" s="1"/>
      <c r="U62" s="1"/>
      <c r="V62" s="1"/>
      <c r="W62" s="1"/>
      <c r="X62" s="1"/>
      <c r="Y62" s="1"/>
      <c r="Z62" s="1"/>
    </row>
    <row r="63">
      <c r="A63" s="1"/>
      <c r="B63" s="1"/>
      <c r="C63" s="1"/>
      <c r="D63" s="1"/>
      <c r="E63" s="1"/>
      <c r="F63" s="1"/>
      <c r="G63" s="1"/>
      <c r="H63" s="1"/>
      <c r="I63" s="1"/>
      <c r="J63" s="1"/>
      <c r="K63" s="1"/>
      <c r="L63" s="1"/>
      <c r="M63" s="1"/>
      <c r="N63" s="1"/>
      <c r="O63" s="1"/>
      <c r="P63" s="1"/>
      <c r="Q63" s="1"/>
      <c r="R63" s="1"/>
      <c r="S63" s="1"/>
      <c r="T63" s="1"/>
      <c r="U63" s="1"/>
      <c r="V63" s="1"/>
      <c r="W63" s="1"/>
      <c r="X63" s="1"/>
      <c r="Y63" s="1"/>
      <c r="Z63" s="1"/>
    </row>
    <row r="64">
      <c r="A64" s="1"/>
      <c r="B64" s="1"/>
      <c r="C64" s="1"/>
      <c r="D64" s="1"/>
      <c r="E64" s="1"/>
      <c r="F64" s="1"/>
      <c r="G64" s="1"/>
      <c r="H64" s="1"/>
      <c r="I64" s="1"/>
      <c r="J64" s="1"/>
      <c r="K64" s="1"/>
      <c r="L64" s="1"/>
      <c r="M64" s="1"/>
      <c r="N64" s="1"/>
      <c r="O64" s="1"/>
      <c r="P64" s="1"/>
      <c r="Q64" s="1"/>
      <c r="R64" s="1"/>
      <c r="S64" s="1"/>
      <c r="T64" s="1"/>
      <c r="U64" s="1"/>
      <c r="V64" s="1"/>
      <c r="W64" s="1"/>
      <c r="X64" s="1"/>
      <c r="Y64" s="1"/>
      <c r="Z64" s="1"/>
    </row>
    <row r="65">
      <c r="A65" s="1"/>
      <c r="B65" s="1"/>
      <c r="C65" s="1"/>
      <c r="D65" s="1"/>
      <c r="E65" s="1"/>
      <c r="F65" s="1"/>
      <c r="G65" s="1"/>
      <c r="H65" s="1"/>
      <c r="I65" s="1"/>
      <c r="J65" s="1"/>
      <c r="K65" s="1"/>
      <c r="L65" s="1"/>
      <c r="M65" s="1"/>
      <c r="N65" s="1"/>
      <c r="O65" s="1"/>
      <c r="P65" s="1"/>
      <c r="Q65" s="1"/>
      <c r="R65" s="1"/>
      <c r="S65" s="1"/>
      <c r="T65" s="1"/>
      <c r="U65" s="1"/>
      <c r="V65" s="1"/>
      <c r="W65" s="1"/>
      <c r="X65" s="1"/>
      <c r="Y65" s="1"/>
      <c r="Z65" s="1"/>
    </row>
    <row r="66">
      <c r="A66" s="1"/>
      <c r="B66" s="1"/>
      <c r="C66" s="1"/>
      <c r="D66" s="1"/>
      <c r="E66" s="1"/>
      <c r="F66" s="1"/>
      <c r="G66" s="1"/>
      <c r="H66" s="1"/>
      <c r="I66" s="1"/>
      <c r="J66" s="1"/>
      <c r="K66" s="1"/>
      <c r="L66" s="1"/>
      <c r="M66" s="1"/>
      <c r="N66" s="1"/>
      <c r="O66" s="1"/>
      <c r="P66" s="1"/>
      <c r="Q66" s="1"/>
      <c r="R66" s="1"/>
      <c r="S66" s="1"/>
      <c r="T66" s="1"/>
      <c r="U66" s="1"/>
      <c r="V66" s="1"/>
      <c r="W66" s="1"/>
      <c r="X66" s="1"/>
      <c r="Y66" s="1"/>
      <c r="Z66" s="1"/>
    </row>
    <row r="67">
      <c r="A67" s="1"/>
      <c r="B67" s="1"/>
      <c r="C67" s="1"/>
      <c r="D67" s="1"/>
      <c r="E67" s="1"/>
      <c r="F67" s="1"/>
      <c r="G67" s="1"/>
      <c r="H67" s="1"/>
      <c r="I67" s="1"/>
      <c r="J67" s="1"/>
      <c r="K67" s="1"/>
      <c r="L67" s="1"/>
      <c r="M67" s="1"/>
      <c r="N67" s="1"/>
      <c r="O67" s="1"/>
      <c r="P67" s="1"/>
      <c r="Q67" s="1"/>
      <c r="R67" s="1"/>
      <c r="S67" s="1"/>
      <c r="T67" s="1"/>
      <c r="U67" s="1"/>
      <c r="V67" s="1"/>
      <c r="W67" s="1"/>
      <c r="X67" s="1"/>
      <c r="Y67" s="1"/>
      <c r="Z67" s="1"/>
    </row>
    <row r="68">
      <c r="A68" s="1"/>
      <c r="B68" s="1"/>
      <c r="C68" s="1"/>
      <c r="D68" s="1"/>
      <c r="E68" s="1"/>
      <c r="F68" s="1"/>
      <c r="G68" s="1"/>
      <c r="H68" s="1"/>
      <c r="I68" s="1"/>
      <c r="J68" s="1"/>
      <c r="K68" s="1"/>
      <c r="L68" s="1"/>
      <c r="M68" s="1"/>
      <c r="N68" s="1"/>
      <c r="O68" s="1"/>
      <c r="P68" s="1"/>
      <c r="Q68" s="1"/>
      <c r="R68" s="1"/>
      <c r="S68" s="1"/>
      <c r="T68" s="1"/>
      <c r="U68" s="1"/>
      <c r="V68" s="1"/>
      <c r="W68" s="1"/>
      <c r="X68" s="1"/>
      <c r="Y68" s="1"/>
      <c r="Z68" s="1"/>
    </row>
    <row r="69">
      <c r="A69" s="1"/>
      <c r="B69" s="1"/>
      <c r="C69" s="1"/>
      <c r="D69" s="1"/>
      <c r="E69" s="1"/>
      <c r="F69" s="1"/>
      <c r="G69" s="1"/>
      <c r="H69" s="1"/>
      <c r="I69" s="1"/>
      <c r="J69" s="1"/>
      <c r="K69" s="1"/>
      <c r="L69" s="1"/>
      <c r="M69" s="1"/>
      <c r="N69" s="1"/>
      <c r="O69" s="1"/>
      <c r="P69" s="1"/>
      <c r="Q69" s="1"/>
      <c r="R69" s="1"/>
      <c r="S69" s="1"/>
      <c r="T69" s="1"/>
      <c r="U69" s="1"/>
      <c r="V69" s="1"/>
      <c r="W69" s="1"/>
      <c r="X69" s="1"/>
      <c r="Y69" s="1"/>
      <c r="Z69" s="1"/>
    </row>
    <row r="70">
      <c r="A70" s="1"/>
      <c r="B70" s="56" t="s">
        <v>263</v>
      </c>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sheetData>
  <printOptions/>
  <pageMargins bottom="0.0" footer="0.0" header="0.0" left="0.0" right="0.0" top="0.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showGridLines="0" workbookViewId="0"/>
  </sheetViews>
  <sheetFormatPr customHeight="1" defaultColWidth="14.43" defaultRowHeight="15.0"/>
  <cols>
    <col customWidth="1" min="1" max="1" width="4.43"/>
    <col customWidth="1" min="2" max="2" width="300.71"/>
    <col customWidth="1" min="7" max="7" width="246.43"/>
    <col customWidth="1" min="8" max="8" width="12.43"/>
    <col customWidth="1" min="12" max="12" width="16.29"/>
  </cols>
  <sheetData>
    <row r="1">
      <c r="A1" s="1"/>
      <c r="B1" s="1"/>
      <c r="C1" s="1"/>
      <c r="D1" s="1"/>
      <c r="E1" s="1"/>
      <c r="F1" s="1"/>
      <c r="G1" s="1"/>
      <c r="H1" s="1"/>
      <c r="I1" s="1"/>
      <c r="J1" s="1"/>
      <c r="K1" s="1"/>
      <c r="L1" s="1"/>
      <c r="M1" s="1"/>
      <c r="N1" s="1"/>
      <c r="O1" s="1"/>
      <c r="P1" s="1"/>
      <c r="Q1" s="1"/>
      <c r="R1" s="1"/>
      <c r="S1" s="1"/>
      <c r="T1" s="1"/>
      <c r="U1" s="1"/>
      <c r="V1" s="1"/>
      <c r="W1" s="1"/>
      <c r="X1" s="1"/>
      <c r="Y1" s="1"/>
      <c r="Z1" s="1"/>
    </row>
    <row r="2">
      <c r="A2" s="1"/>
      <c r="B2" s="90" t="s">
        <v>264</v>
      </c>
      <c r="C2" s="1"/>
      <c r="D2" s="1"/>
      <c r="E2" s="1"/>
      <c r="F2" s="1"/>
      <c r="G2" s="1"/>
      <c r="H2" s="1"/>
      <c r="I2" s="1"/>
      <c r="J2" s="1"/>
      <c r="K2" s="1"/>
      <c r="L2" s="1"/>
      <c r="M2" s="1"/>
      <c r="N2" s="1"/>
      <c r="O2" s="1"/>
      <c r="P2" s="1"/>
      <c r="Q2" s="1"/>
      <c r="R2" s="1"/>
      <c r="S2" s="1"/>
      <c r="T2" s="1"/>
      <c r="U2" s="1"/>
      <c r="V2" s="1"/>
      <c r="W2" s="1"/>
      <c r="X2" s="1"/>
      <c r="Y2" s="1"/>
      <c r="Z2" s="1"/>
    </row>
    <row r="3">
      <c r="A3" s="1"/>
      <c r="B3" s="1"/>
      <c r="C3" s="1"/>
      <c r="D3" s="1"/>
      <c r="E3" s="1"/>
      <c r="F3" s="1"/>
      <c r="G3" s="1"/>
      <c r="H3" s="1"/>
      <c r="I3" s="1"/>
      <c r="J3" s="1"/>
      <c r="K3" s="1"/>
      <c r="L3" s="1"/>
      <c r="M3" s="1"/>
      <c r="N3" s="1"/>
      <c r="O3" s="1"/>
      <c r="P3" s="1"/>
      <c r="Q3" s="1"/>
      <c r="R3" s="1"/>
      <c r="S3" s="1"/>
      <c r="T3" s="1"/>
      <c r="U3" s="1"/>
      <c r="V3" s="1"/>
      <c r="W3" s="1"/>
      <c r="X3" s="1"/>
      <c r="Y3" s="1"/>
      <c r="Z3" s="1"/>
    </row>
    <row r="4">
      <c r="A4" s="1"/>
      <c r="B4" s="89" t="s">
        <v>265</v>
      </c>
      <c r="C4" s="1"/>
      <c r="D4" s="1"/>
      <c r="E4" s="1"/>
      <c r="F4" s="1"/>
      <c r="G4" s="1"/>
      <c r="H4" s="1"/>
      <c r="I4" s="1"/>
      <c r="J4" s="1"/>
      <c r="K4" s="1"/>
      <c r="L4" s="1"/>
      <c r="M4" s="1"/>
      <c r="N4" s="1"/>
      <c r="O4" s="1"/>
      <c r="P4" s="1"/>
      <c r="Q4" s="1"/>
      <c r="R4" s="1"/>
      <c r="S4" s="1"/>
      <c r="T4" s="1"/>
      <c r="U4" s="1"/>
      <c r="V4" s="1"/>
      <c r="W4" s="1"/>
      <c r="X4" s="1"/>
      <c r="Y4" s="1"/>
      <c r="Z4" s="1"/>
    </row>
    <row r="5">
      <c r="A5" s="1"/>
      <c r="B5" s="87"/>
      <c r="C5" s="1"/>
      <c r="D5" s="1"/>
      <c r="E5" s="1"/>
      <c r="F5" s="1"/>
      <c r="G5" s="1"/>
      <c r="H5" s="1"/>
      <c r="I5" s="1"/>
      <c r="J5" s="1"/>
      <c r="K5" s="1"/>
      <c r="L5" s="1"/>
      <c r="M5" s="1"/>
      <c r="N5" s="1"/>
      <c r="O5" s="1"/>
      <c r="P5" s="1"/>
      <c r="Q5" s="1"/>
      <c r="R5" s="1"/>
      <c r="S5" s="1"/>
      <c r="T5" s="1"/>
      <c r="U5" s="1"/>
      <c r="V5" s="1"/>
      <c r="W5" s="1"/>
      <c r="X5" s="1"/>
      <c r="Y5" s="1"/>
      <c r="Z5" s="1"/>
    </row>
    <row r="6">
      <c r="A6" s="1"/>
      <c r="B6" s="87" t="s">
        <v>266</v>
      </c>
      <c r="C6" s="1"/>
      <c r="D6" s="1"/>
      <c r="E6" s="1"/>
      <c r="F6" s="1"/>
      <c r="G6" s="1"/>
      <c r="H6" s="1"/>
      <c r="I6" s="1"/>
      <c r="J6" s="1"/>
      <c r="K6" s="1"/>
      <c r="L6" s="1"/>
      <c r="M6" s="1"/>
      <c r="N6" s="1"/>
      <c r="O6" s="1"/>
      <c r="P6" s="1"/>
      <c r="Q6" s="1"/>
      <c r="R6" s="1"/>
      <c r="S6" s="1"/>
      <c r="T6" s="1"/>
      <c r="U6" s="1"/>
      <c r="V6" s="1"/>
      <c r="W6" s="1"/>
      <c r="X6" s="1"/>
      <c r="Y6" s="1"/>
      <c r="Z6" s="1"/>
    </row>
    <row r="7">
      <c r="A7" s="1"/>
      <c r="C7" s="1"/>
      <c r="D7" s="1"/>
      <c r="E7" s="1"/>
      <c r="F7" s="1"/>
      <c r="G7" s="1"/>
      <c r="H7" s="1"/>
      <c r="I7" s="1"/>
      <c r="J7" s="1"/>
      <c r="K7" s="1"/>
      <c r="L7" s="1"/>
      <c r="M7" s="1"/>
      <c r="N7" s="1"/>
      <c r="O7" s="1"/>
      <c r="P7" s="1"/>
      <c r="Q7" s="1"/>
      <c r="R7" s="1"/>
      <c r="S7" s="1"/>
      <c r="T7" s="1"/>
      <c r="U7" s="1"/>
      <c r="V7" s="1"/>
      <c r="W7" s="1"/>
      <c r="X7" s="1"/>
      <c r="Y7" s="1"/>
      <c r="Z7" s="1"/>
    </row>
    <row r="8">
      <c r="A8" s="1"/>
      <c r="B8" s="87" t="s">
        <v>267</v>
      </c>
      <c r="C8" s="1"/>
      <c r="D8" s="1"/>
      <c r="E8" s="1"/>
      <c r="F8" s="1"/>
      <c r="G8" s="1"/>
      <c r="H8" s="1"/>
      <c r="I8" s="1"/>
      <c r="J8" s="1"/>
      <c r="K8" s="1"/>
      <c r="L8" s="1"/>
      <c r="M8" s="1"/>
      <c r="N8" s="1"/>
      <c r="O8" s="1"/>
      <c r="P8" s="1"/>
      <c r="Q8" s="1"/>
      <c r="R8" s="1"/>
      <c r="S8" s="1"/>
      <c r="T8" s="1"/>
      <c r="U8" s="1"/>
      <c r="V8" s="1"/>
      <c r="W8" s="1"/>
      <c r="X8" s="1"/>
      <c r="Y8" s="1"/>
      <c r="Z8" s="1"/>
    </row>
    <row r="9">
      <c r="A9" s="1"/>
      <c r="C9" s="1"/>
      <c r="D9" s="1"/>
      <c r="E9" s="1"/>
      <c r="F9" s="1"/>
      <c r="G9" s="1"/>
      <c r="H9" s="1"/>
      <c r="I9" s="1"/>
      <c r="J9" s="1"/>
      <c r="K9" s="1"/>
      <c r="L9" s="1"/>
      <c r="M9" s="1"/>
      <c r="N9" s="1"/>
      <c r="O9" s="1"/>
      <c r="P9" s="1"/>
      <c r="Q9" s="1"/>
      <c r="R9" s="1"/>
      <c r="S9" s="1"/>
      <c r="T9" s="1"/>
      <c r="U9" s="1"/>
      <c r="V9" s="1"/>
      <c r="W9" s="1"/>
      <c r="X9" s="1"/>
      <c r="Y9" s="1"/>
      <c r="Z9" s="1"/>
    </row>
    <row r="10">
      <c r="A10" s="1"/>
      <c r="B10" s="87" t="s">
        <v>268</v>
      </c>
      <c r="C10" s="1"/>
      <c r="D10" s="1"/>
      <c r="E10" s="1"/>
      <c r="F10" s="1"/>
      <c r="G10" s="1"/>
      <c r="H10" s="1"/>
      <c r="I10" s="1"/>
      <c r="J10" s="1"/>
      <c r="K10" s="1"/>
      <c r="L10" s="1"/>
      <c r="M10" s="1"/>
      <c r="N10" s="1"/>
      <c r="O10" s="1"/>
      <c r="P10" s="1"/>
      <c r="Q10" s="1"/>
      <c r="R10" s="1"/>
      <c r="S10" s="1"/>
      <c r="T10" s="1"/>
      <c r="U10" s="1"/>
      <c r="V10" s="1"/>
      <c r="W10" s="1"/>
      <c r="X10" s="1"/>
      <c r="Y10" s="1"/>
      <c r="Z10" s="1"/>
    </row>
    <row r="11">
      <c r="A11" s="1"/>
      <c r="C11" s="1"/>
      <c r="D11" s="1"/>
      <c r="E11" s="1"/>
      <c r="F11" s="1"/>
      <c r="G11" s="1"/>
      <c r="H11" s="1"/>
      <c r="I11" s="1"/>
      <c r="J11" s="1"/>
      <c r="K11" s="1"/>
      <c r="L11" s="1"/>
      <c r="M11" s="1"/>
      <c r="N11" s="1"/>
      <c r="O11" s="1"/>
      <c r="P11" s="1"/>
      <c r="Q11" s="1"/>
      <c r="R11" s="1"/>
      <c r="S11" s="1"/>
      <c r="T11" s="1"/>
      <c r="U11" s="1"/>
      <c r="V11" s="1"/>
      <c r="W11" s="1"/>
      <c r="X11" s="1"/>
      <c r="Y11" s="1"/>
      <c r="Z11" s="1"/>
    </row>
    <row r="12">
      <c r="A12" s="1"/>
      <c r="B12" s="87" t="s">
        <v>269</v>
      </c>
      <c r="C12" s="1"/>
      <c r="D12" s="1"/>
      <c r="E12" s="1"/>
      <c r="F12" s="1"/>
      <c r="G12" s="1"/>
      <c r="H12" s="1"/>
      <c r="I12" s="1"/>
      <c r="J12" s="1"/>
      <c r="K12" s="1"/>
      <c r="L12" s="1"/>
      <c r="M12" s="1"/>
      <c r="N12" s="1"/>
      <c r="O12" s="1"/>
      <c r="P12" s="1"/>
      <c r="Q12" s="1"/>
      <c r="R12" s="1"/>
      <c r="S12" s="1"/>
      <c r="T12" s="1"/>
      <c r="U12" s="1"/>
      <c r="V12" s="1"/>
      <c r="W12" s="1"/>
      <c r="X12" s="1"/>
      <c r="Y12" s="1"/>
      <c r="Z12" s="1"/>
    </row>
    <row r="13">
      <c r="A13" s="1"/>
      <c r="C13" s="1"/>
      <c r="D13" s="1"/>
      <c r="E13" s="1"/>
      <c r="F13" s="1"/>
      <c r="G13" s="1"/>
      <c r="H13" s="1"/>
      <c r="I13" s="1"/>
      <c r="J13" s="1"/>
      <c r="K13" s="1"/>
      <c r="L13" s="1"/>
      <c r="M13" s="1"/>
      <c r="N13" s="1"/>
      <c r="O13" s="1"/>
      <c r="P13" s="1"/>
      <c r="Q13" s="1"/>
      <c r="R13" s="1"/>
      <c r="S13" s="1"/>
      <c r="T13" s="1"/>
      <c r="U13" s="1"/>
      <c r="V13" s="1"/>
      <c r="W13" s="1"/>
      <c r="X13" s="1"/>
      <c r="Y13" s="1"/>
      <c r="Z13" s="1"/>
    </row>
    <row r="14">
      <c r="A14" s="1"/>
      <c r="B14" s="87" t="s">
        <v>270</v>
      </c>
      <c r="C14" s="1"/>
      <c r="D14" s="1"/>
      <c r="E14" s="1"/>
      <c r="F14" s="1"/>
      <c r="G14" s="1"/>
      <c r="H14" s="1"/>
      <c r="I14" s="1"/>
      <c r="J14" s="1"/>
      <c r="K14" s="1"/>
      <c r="L14" s="1"/>
      <c r="M14" s="1"/>
      <c r="N14" s="1"/>
      <c r="O14" s="1"/>
      <c r="P14" s="1"/>
      <c r="Q14" s="1"/>
      <c r="R14" s="1"/>
      <c r="S14" s="1"/>
      <c r="T14" s="1"/>
      <c r="U14" s="1"/>
      <c r="V14" s="1"/>
      <c r="W14" s="1"/>
      <c r="X14" s="1"/>
      <c r="Y14" s="1"/>
      <c r="Z14" s="1"/>
    </row>
    <row r="15">
      <c r="A15" s="1"/>
      <c r="C15" s="1"/>
      <c r="D15" s="1"/>
      <c r="E15" s="1"/>
      <c r="F15" s="1"/>
      <c r="G15" s="1"/>
      <c r="H15" s="1"/>
      <c r="I15" s="1"/>
      <c r="J15" s="1"/>
      <c r="K15" s="1"/>
      <c r="L15" s="1"/>
      <c r="M15" s="1"/>
      <c r="N15" s="1"/>
      <c r="O15" s="1"/>
      <c r="P15" s="1"/>
      <c r="Q15" s="1"/>
      <c r="R15" s="1"/>
      <c r="S15" s="1"/>
      <c r="T15" s="1"/>
      <c r="U15" s="1"/>
      <c r="V15" s="1"/>
      <c r="W15" s="1"/>
      <c r="X15" s="1"/>
      <c r="Y15" s="1"/>
      <c r="Z15" s="1"/>
    </row>
    <row r="16">
      <c r="A16" s="1"/>
      <c r="B16" s="87" t="s">
        <v>271</v>
      </c>
      <c r="C16" s="1"/>
      <c r="D16" s="1"/>
      <c r="E16" s="1"/>
      <c r="F16" s="1"/>
      <c r="G16" s="1"/>
      <c r="H16" s="1"/>
      <c r="I16" s="1"/>
      <c r="J16" s="1"/>
      <c r="K16" s="1"/>
      <c r="L16" s="1"/>
      <c r="M16" s="1"/>
      <c r="N16" s="1"/>
      <c r="O16" s="1"/>
      <c r="P16" s="1"/>
      <c r="Q16" s="1"/>
      <c r="R16" s="1"/>
      <c r="S16" s="1"/>
      <c r="T16" s="1"/>
      <c r="U16" s="1"/>
      <c r="V16" s="1"/>
      <c r="W16" s="1"/>
      <c r="X16" s="1"/>
      <c r="Y16" s="1"/>
      <c r="Z16" s="1"/>
    </row>
    <row r="17">
      <c r="A17" s="1"/>
      <c r="B17" s="87"/>
      <c r="C17" s="1"/>
      <c r="D17" s="1"/>
      <c r="E17" s="1"/>
      <c r="F17" s="1"/>
      <c r="G17" s="1"/>
      <c r="H17" s="1"/>
      <c r="I17" s="1"/>
      <c r="J17" s="1"/>
      <c r="K17" s="1"/>
      <c r="L17" s="1"/>
      <c r="M17" s="1"/>
      <c r="N17" s="1"/>
      <c r="O17" s="1"/>
      <c r="P17" s="1"/>
      <c r="Q17" s="1"/>
      <c r="R17" s="1"/>
      <c r="S17" s="1"/>
      <c r="T17" s="1"/>
      <c r="U17" s="1"/>
      <c r="V17" s="1"/>
      <c r="W17" s="1"/>
      <c r="X17" s="1"/>
      <c r="Y17" s="1"/>
      <c r="Z17" s="1"/>
    </row>
    <row r="18">
      <c r="A18" s="1"/>
      <c r="B18" s="89" t="s">
        <v>272</v>
      </c>
      <c r="C18" s="1"/>
      <c r="D18" s="1"/>
      <c r="E18" s="1"/>
      <c r="F18" s="1"/>
      <c r="G18" s="1"/>
      <c r="H18" s="1"/>
      <c r="I18" s="1"/>
      <c r="J18" s="1"/>
      <c r="K18" s="1"/>
      <c r="L18" s="1"/>
      <c r="M18" s="1"/>
      <c r="N18" s="1"/>
      <c r="O18" s="1"/>
      <c r="P18" s="1"/>
      <c r="Q18" s="1"/>
      <c r="R18" s="1"/>
      <c r="S18" s="1"/>
      <c r="T18" s="1"/>
      <c r="U18" s="1"/>
      <c r="V18" s="1"/>
      <c r="W18" s="1"/>
      <c r="X18" s="1"/>
      <c r="Y18" s="1"/>
      <c r="Z18" s="1"/>
    </row>
    <row r="19">
      <c r="A19" s="1"/>
      <c r="C19" s="1"/>
      <c r="D19" s="1"/>
      <c r="E19" s="1"/>
      <c r="F19" s="1"/>
      <c r="G19" s="1"/>
      <c r="H19" s="1"/>
      <c r="I19" s="1"/>
      <c r="J19" s="1"/>
      <c r="K19" s="1"/>
      <c r="L19" s="1"/>
      <c r="M19" s="1"/>
      <c r="N19" s="1"/>
      <c r="O19" s="1"/>
      <c r="P19" s="1"/>
      <c r="Q19" s="1"/>
      <c r="R19" s="1"/>
      <c r="S19" s="1"/>
      <c r="T19" s="1"/>
      <c r="U19" s="1"/>
      <c r="V19" s="1"/>
      <c r="W19" s="1"/>
      <c r="X19" s="1"/>
      <c r="Y19" s="1"/>
      <c r="Z19" s="1"/>
    </row>
    <row r="20">
      <c r="A20" s="1"/>
      <c r="B20" s="89" t="s">
        <v>273</v>
      </c>
      <c r="C20" s="1"/>
      <c r="D20" s="1"/>
      <c r="E20" s="1"/>
      <c r="F20" s="1"/>
      <c r="G20" s="1"/>
      <c r="H20" s="1"/>
      <c r="I20" s="1"/>
      <c r="J20" s="1"/>
      <c r="K20" s="1"/>
      <c r="L20" s="1"/>
      <c r="M20" s="1"/>
      <c r="N20" s="1"/>
      <c r="O20" s="1"/>
      <c r="P20" s="1"/>
      <c r="Q20" s="1"/>
      <c r="R20" s="1"/>
      <c r="S20" s="1"/>
      <c r="T20" s="1"/>
      <c r="U20" s="1"/>
      <c r="V20" s="1"/>
      <c r="W20" s="1"/>
      <c r="X20" s="1"/>
      <c r="Y20" s="1"/>
      <c r="Z20" s="1"/>
    </row>
    <row r="21">
      <c r="A21" s="1"/>
      <c r="B21" s="87"/>
      <c r="C21" s="1"/>
      <c r="D21" s="1"/>
      <c r="E21" s="1"/>
      <c r="F21" s="1"/>
      <c r="G21" s="1"/>
      <c r="H21" s="1"/>
      <c r="I21" s="1"/>
      <c r="J21" s="1"/>
      <c r="K21" s="1"/>
      <c r="L21" s="1"/>
      <c r="M21" s="1"/>
      <c r="N21" s="1"/>
      <c r="O21" s="1"/>
      <c r="P21" s="1"/>
      <c r="Q21" s="1"/>
      <c r="R21" s="1"/>
      <c r="S21" s="1"/>
      <c r="T21" s="1"/>
      <c r="U21" s="1"/>
      <c r="V21" s="1"/>
      <c r="W21" s="1"/>
      <c r="X21" s="1"/>
      <c r="Y21" s="1"/>
      <c r="Z21" s="1"/>
    </row>
    <row r="22">
      <c r="A22" s="1"/>
      <c r="B22" s="87" t="s">
        <v>274</v>
      </c>
      <c r="C22" s="1"/>
      <c r="D22" s="1"/>
      <c r="E22" s="1"/>
      <c r="F22" s="1"/>
      <c r="G22" s="1"/>
      <c r="H22" s="1"/>
      <c r="I22" s="1"/>
      <c r="J22" s="1"/>
      <c r="K22" s="1"/>
      <c r="L22" s="1"/>
      <c r="M22" s="1"/>
      <c r="N22" s="1"/>
      <c r="O22" s="1"/>
      <c r="P22" s="1"/>
      <c r="Q22" s="1"/>
      <c r="R22" s="1"/>
      <c r="S22" s="1"/>
      <c r="T22" s="1"/>
      <c r="U22" s="1"/>
      <c r="V22" s="1"/>
      <c r="W22" s="1"/>
      <c r="X22" s="1"/>
      <c r="Y22" s="1"/>
      <c r="Z22" s="1"/>
    </row>
    <row r="23">
      <c r="A23" s="1"/>
      <c r="C23" s="1"/>
      <c r="D23" s="1"/>
      <c r="E23" s="1"/>
      <c r="F23" s="1"/>
      <c r="G23" s="1"/>
      <c r="H23" s="1"/>
      <c r="I23" s="1"/>
      <c r="J23" s="1"/>
      <c r="K23" s="1"/>
      <c r="L23" s="1"/>
      <c r="M23" s="1"/>
      <c r="N23" s="1"/>
      <c r="O23" s="1"/>
      <c r="P23" s="1"/>
      <c r="Q23" s="1"/>
      <c r="R23" s="1"/>
      <c r="S23" s="1"/>
      <c r="T23" s="1"/>
      <c r="U23" s="1"/>
      <c r="V23" s="1"/>
      <c r="W23" s="1"/>
      <c r="X23" s="1"/>
      <c r="Y23" s="1"/>
      <c r="Z23" s="1"/>
    </row>
    <row r="24">
      <c r="A24" s="1"/>
      <c r="B24" s="87" t="s">
        <v>275</v>
      </c>
      <c r="C24" s="1"/>
      <c r="D24" s="1"/>
      <c r="E24" s="1"/>
      <c r="F24" s="1"/>
      <c r="G24" s="1"/>
      <c r="H24" s="1"/>
      <c r="I24" s="1"/>
      <c r="J24" s="1"/>
      <c r="K24" s="1"/>
      <c r="L24" s="1"/>
      <c r="M24" s="1"/>
      <c r="N24" s="1"/>
      <c r="O24" s="1"/>
      <c r="P24" s="1"/>
      <c r="Q24" s="1"/>
      <c r="R24" s="1"/>
      <c r="S24" s="1"/>
      <c r="T24" s="1"/>
      <c r="U24" s="1"/>
      <c r="V24" s="1"/>
      <c r="W24" s="1"/>
      <c r="X24" s="1"/>
      <c r="Y24" s="1"/>
      <c r="Z24" s="1"/>
    </row>
    <row r="25">
      <c r="A25" s="1"/>
      <c r="C25" s="1"/>
      <c r="D25" s="1"/>
      <c r="E25" s="1"/>
      <c r="F25" s="1"/>
      <c r="G25" s="1"/>
      <c r="H25" s="1"/>
      <c r="I25" s="1"/>
      <c r="J25" s="1"/>
      <c r="K25" s="1"/>
      <c r="L25" s="1"/>
      <c r="M25" s="1"/>
      <c r="N25" s="1"/>
      <c r="O25" s="1"/>
      <c r="P25" s="1"/>
      <c r="Q25" s="1"/>
      <c r="R25" s="1"/>
      <c r="S25" s="1"/>
      <c r="T25" s="1"/>
      <c r="U25" s="1"/>
      <c r="V25" s="1"/>
      <c r="W25" s="1"/>
      <c r="X25" s="1"/>
      <c r="Y25" s="1"/>
      <c r="Z25" s="1"/>
    </row>
    <row r="26">
      <c r="A26" s="1"/>
      <c r="B26" s="89" t="s">
        <v>276</v>
      </c>
      <c r="C26" s="1"/>
      <c r="D26" s="1"/>
      <c r="E26" s="1"/>
      <c r="F26" s="1"/>
      <c r="G26" s="1"/>
      <c r="H26" s="1"/>
      <c r="I26" s="1"/>
      <c r="J26" s="1"/>
      <c r="K26" s="1"/>
      <c r="L26" s="1"/>
      <c r="M26" s="1"/>
      <c r="N26" s="1"/>
      <c r="O26" s="1"/>
      <c r="P26" s="1"/>
      <c r="Q26" s="1"/>
      <c r="R26" s="1"/>
      <c r="S26" s="1"/>
      <c r="T26" s="1"/>
      <c r="U26" s="1"/>
      <c r="V26" s="1"/>
      <c r="W26" s="1"/>
      <c r="X26" s="1"/>
      <c r="Y26" s="1"/>
      <c r="Z26" s="1"/>
    </row>
    <row r="27">
      <c r="A27" s="1"/>
      <c r="B27" s="87"/>
      <c r="C27" s="1"/>
      <c r="D27" s="1"/>
      <c r="E27" s="1"/>
      <c r="F27" s="1"/>
      <c r="G27" s="1"/>
      <c r="H27" s="1"/>
      <c r="I27" s="1"/>
      <c r="J27" s="1"/>
      <c r="K27" s="1"/>
      <c r="L27" s="1"/>
      <c r="M27" s="1"/>
      <c r="N27" s="1"/>
      <c r="O27" s="1"/>
      <c r="P27" s="1"/>
      <c r="Q27" s="1"/>
      <c r="R27" s="1"/>
      <c r="S27" s="1"/>
      <c r="T27" s="1"/>
      <c r="U27" s="1"/>
      <c r="V27" s="1"/>
      <c r="W27" s="1"/>
      <c r="X27" s="1"/>
      <c r="Y27" s="1"/>
      <c r="Z27" s="1"/>
    </row>
    <row r="28">
      <c r="A28" s="1"/>
      <c r="B28" s="87" t="s">
        <v>277</v>
      </c>
      <c r="C28" s="1"/>
      <c r="D28" s="1"/>
      <c r="E28" s="1"/>
      <c r="F28" s="1"/>
      <c r="G28" s="1"/>
      <c r="H28" s="1"/>
      <c r="I28" s="1"/>
      <c r="J28" s="1"/>
      <c r="K28" s="1"/>
      <c r="L28" s="1"/>
      <c r="M28" s="1"/>
      <c r="N28" s="1"/>
      <c r="O28" s="1"/>
      <c r="P28" s="1"/>
      <c r="Q28" s="1"/>
      <c r="R28" s="1"/>
      <c r="S28" s="1"/>
      <c r="T28" s="1"/>
      <c r="U28" s="1"/>
      <c r="V28" s="1"/>
      <c r="W28" s="1"/>
      <c r="X28" s="1"/>
      <c r="Y28" s="1"/>
      <c r="Z28" s="1"/>
    </row>
    <row r="29">
      <c r="A29" s="1"/>
      <c r="C29" s="1"/>
      <c r="D29" s="1"/>
      <c r="E29" s="1"/>
      <c r="F29" s="1"/>
      <c r="G29" s="1"/>
      <c r="H29" s="1"/>
      <c r="I29" s="1"/>
      <c r="J29" s="1"/>
      <c r="K29" s="1"/>
      <c r="L29" s="1"/>
      <c r="M29" s="1"/>
      <c r="N29" s="1"/>
      <c r="O29" s="1"/>
      <c r="P29" s="1"/>
      <c r="Q29" s="1"/>
      <c r="R29" s="1"/>
      <c r="S29" s="1"/>
      <c r="T29" s="1"/>
      <c r="U29" s="1"/>
      <c r="V29" s="1"/>
      <c r="W29" s="1"/>
      <c r="X29" s="1"/>
      <c r="Y29" s="1"/>
      <c r="Z29" s="1"/>
    </row>
    <row r="30">
      <c r="A30" s="1"/>
      <c r="B30" s="56" t="s">
        <v>278</v>
      </c>
      <c r="C30" s="1"/>
      <c r="D30" s="1"/>
      <c r="E30" s="1"/>
      <c r="F30" s="1"/>
      <c r="G30" s="1"/>
      <c r="H30" s="1"/>
      <c r="I30" s="1"/>
      <c r="J30" s="1"/>
      <c r="K30" s="1"/>
      <c r="L30" s="1"/>
      <c r="M30" s="1"/>
      <c r="N30" s="1"/>
      <c r="O30" s="1"/>
      <c r="P30" s="1"/>
      <c r="Q30" s="1"/>
      <c r="R30" s="1"/>
      <c r="S30" s="1"/>
      <c r="T30" s="1"/>
      <c r="U30" s="1"/>
      <c r="V30" s="1"/>
      <c r="W30" s="1"/>
      <c r="X30" s="1"/>
      <c r="Y30" s="1"/>
      <c r="Z30" s="1"/>
    </row>
    <row r="31">
      <c r="A31" s="1"/>
      <c r="B31" s="1"/>
      <c r="C31" s="1"/>
      <c r="D31" s="1"/>
      <c r="E31" s="1"/>
      <c r="F31" s="1"/>
      <c r="G31" s="1"/>
      <c r="H31" s="1"/>
      <c r="I31" s="1"/>
      <c r="J31" s="1"/>
      <c r="K31" s="1"/>
      <c r="L31" s="1"/>
      <c r="M31" s="1"/>
      <c r="N31" s="1"/>
      <c r="O31" s="1"/>
      <c r="P31" s="1"/>
      <c r="Q31" s="1"/>
      <c r="R31" s="1"/>
      <c r="S31" s="1"/>
      <c r="T31" s="1"/>
      <c r="U31" s="1"/>
      <c r="V31" s="1"/>
      <c r="W31" s="1"/>
      <c r="X31" s="1"/>
      <c r="Y31" s="1"/>
      <c r="Z31" s="1"/>
    </row>
    <row r="32">
      <c r="A32" s="1"/>
      <c r="B32" s="1" t="s">
        <v>279</v>
      </c>
      <c r="C32" s="1"/>
      <c r="D32" s="1"/>
      <c r="E32" s="1"/>
      <c r="F32" s="1"/>
      <c r="G32" s="1"/>
      <c r="H32" s="1"/>
      <c r="I32" s="1"/>
      <c r="J32" s="1"/>
      <c r="K32" s="1"/>
      <c r="L32" s="1"/>
      <c r="M32" s="1"/>
      <c r="N32" s="1"/>
      <c r="O32" s="1"/>
      <c r="P32" s="1"/>
      <c r="Q32" s="1"/>
      <c r="R32" s="1"/>
      <c r="S32" s="1"/>
      <c r="T32" s="1"/>
      <c r="U32" s="1"/>
      <c r="V32" s="1"/>
      <c r="W32" s="1"/>
      <c r="X32" s="1"/>
      <c r="Y32" s="1"/>
      <c r="Z32" s="1"/>
    </row>
    <row r="33">
      <c r="A33" s="1"/>
      <c r="B33" s="1"/>
      <c r="C33" s="1"/>
      <c r="D33" s="1"/>
      <c r="E33" s="1"/>
      <c r="F33" s="1"/>
      <c r="G33" s="1"/>
      <c r="H33" s="1"/>
      <c r="I33" s="1"/>
      <c r="J33" s="1"/>
      <c r="K33" s="1"/>
      <c r="L33" s="1"/>
      <c r="M33" s="1"/>
      <c r="N33" s="1"/>
      <c r="O33" s="1"/>
      <c r="P33" s="1"/>
      <c r="Q33" s="1"/>
      <c r="R33" s="1"/>
      <c r="S33" s="1"/>
      <c r="T33" s="1"/>
      <c r="U33" s="1"/>
      <c r="V33" s="1"/>
      <c r="W33" s="1"/>
      <c r="X33" s="1"/>
      <c r="Y33" s="1"/>
      <c r="Z33" s="1"/>
    </row>
    <row r="34">
      <c r="A34" s="1"/>
      <c r="B34" s="1"/>
      <c r="C34" s="1"/>
      <c r="D34" s="1"/>
      <c r="E34" s="1"/>
      <c r="F34" s="1"/>
      <c r="G34" s="1"/>
      <c r="H34" s="1"/>
      <c r="I34" s="1"/>
      <c r="J34" s="1"/>
      <c r="K34" s="1"/>
      <c r="L34" s="1"/>
      <c r="M34" s="1"/>
      <c r="N34" s="1"/>
      <c r="O34" s="1"/>
      <c r="P34" s="1"/>
      <c r="Q34" s="1"/>
      <c r="R34" s="1"/>
      <c r="S34" s="1"/>
      <c r="T34" s="1"/>
      <c r="U34" s="1"/>
      <c r="V34" s="1"/>
      <c r="W34" s="1"/>
      <c r="X34" s="1"/>
      <c r="Y34" s="1"/>
      <c r="Z34" s="1"/>
    </row>
    <row r="35">
      <c r="A35" s="1"/>
      <c r="B35" s="1"/>
      <c r="C35" s="1"/>
      <c r="D35" s="1"/>
      <c r="E35" s="1"/>
      <c r="F35" s="1"/>
      <c r="G35" s="1"/>
      <c r="H35" s="1"/>
      <c r="I35" s="1"/>
      <c r="J35" s="1"/>
      <c r="K35" s="1"/>
      <c r="L35" s="1"/>
      <c r="M35" s="1"/>
      <c r="N35" s="1"/>
      <c r="O35" s="1"/>
      <c r="P35" s="1"/>
      <c r="Q35" s="1"/>
      <c r="R35" s="1"/>
      <c r="S35" s="1"/>
      <c r="T35" s="1"/>
      <c r="U35" s="1"/>
      <c r="V35" s="1"/>
      <c r="W35" s="1"/>
      <c r="X35" s="1"/>
      <c r="Y35" s="1"/>
      <c r="Z35" s="1"/>
    </row>
    <row r="36">
      <c r="A36" s="1"/>
      <c r="B36" s="1"/>
      <c r="C36" s="1"/>
      <c r="D36" s="1"/>
      <c r="E36" s="1"/>
      <c r="F36" s="1"/>
      <c r="G36" s="1"/>
      <c r="H36" s="1"/>
      <c r="I36" s="1"/>
      <c r="J36" s="1"/>
      <c r="K36" s="1"/>
      <c r="L36" s="1"/>
      <c r="M36" s="1"/>
      <c r="N36" s="1"/>
      <c r="O36" s="1"/>
      <c r="P36" s="1"/>
      <c r="Q36" s="1"/>
      <c r="R36" s="1"/>
      <c r="S36" s="1"/>
      <c r="T36" s="1"/>
      <c r="U36" s="1"/>
      <c r="V36" s="1"/>
      <c r="W36" s="1"/>
      <c r="X36" s="1"/>
      <c r="Y36" s="1"/>
      <c r="Z36" s="1"/>
    </row>
    <row r="37">
      <c r="A37" s="1"/>
      <c r="B37" s="1"/>
      <c r="C37" s="1"/>
      <c r="D37" s="1"/>
      <c r="E37" s="1"/>
      <c r="F37" s="1"/>
      <c r="G37" s="1"/>
      <c r="H37" s="1"/>
      <c r="I37" s="1"/>
      <c r="J37" s="1"/>
      <c r="K37" s="1"/>
      <c r="L37" s="1"/>
      <c r="M37" s="1"/>
      <c r="N37" s="1"/>
      <c r="O37" s="1"/>
      <c r="P37" s="1"/>
      <c r="Q37" s="1"/>
      <c r="R37" s="1"/>
      <c r="S37" s="1"/>
      <c r="T37" s="1"/>
      <c r="U37" s="1"/>
      <c r="V37" s="1"/>
      <c r="W37" s="1"/>
      <c r="X37" s="1"/>
      <c r="Y37" s="1"/>
      <c r="Z37" s="1"/>
    </row>
    <row r="38">
      <c r="A38" s="1"/>
      <c r="B38" s="1"/>
      <c r="C38" s="1"/>
      <c r="D38" s="1"/>
      <c r="E38" s="1"/>
      <c r="F38" s="1"/>
      <c r="G38" s="1"/>
      <c r="H38" s="1"/>
      <c r="I38" s="1"/>
      <c r="J38" s="1"/>
      <c r="K38" s="1"/>
      <c r="L38" s="1"/>
      <c r="M38" s="1"/>
      <c r="N38" s="1"/>
      <c r="O38" s="1"/>
      <c r="P38" s="1"/>
      <c r="Q38" s="1"/>
      <c r="R38" s="1"/>
      <c r="S38" s="1"/>
      <c r="T38" s="1"/>
      <c r="U38" s="1"/>
      <c r="V38" s="1"/>
      <c r="W38" s="1"/>
      <c r="X38" s="1"/>
      <c r="Y38" s="1"/>
      <c r="Z38" s="1"/>
    </row>
    <row r="39">
      <c r="A39" s="1"/>
      <c r="B39" s="1"/>
      <c r="C39" s="1"/>
      <c r="D39" s="1"/>
      <c r="E39" s="1"/>
      <c r="F39" s="1"/>
      <c r="G39" s="1"/>
      <c r="H39" s="1"/>
      <c r="I39" s="1"/>
      <c r="J39" s="1"/>
      <c r="K39" s="1"/>
      <c r="L39" s="1"/>
      <c r="M39" s="1"/>
      <c r="N39" s="1"/>
      <c r="O39" s="1"/>
      <c r="P39" s="1"/>
      <c r="Q39" s="1"/>
      <c r="R39" s="1"/>
      <c r="S39" s="1"/>
      <c r="T39" s="1"/>
      <c r="U39" s="1"/>
      <c r="V39" s="1"/>
      <c r="W39" s="1"/>
      <c r="X39" s="1"/>
      <c r="Y39" s="1"/>
      <c r="Z39" s="1"/>
    </row>
    <row r="40">
      <c r="A40" s="1"/>
      <c r="B40" s="1"/>
      <c r="C40" s="1"/>
      <c r="D40" s="1"/>
      <c r="E40" s="1"/>
      <c r="F40" s="1"/>
      <c r="G40" s="1"/>
      <c r="H40" s="1"/>
      <c r="I40" s="1"/>
      <c r="J40" s="1"/>
      <c r="K40" s="1"/>
      <c r="L40" s="1"/>
      <c r="M40" s="1"/>
      <c r="N40" s="1"/>
      <c r="O40" s="1"/>
      <c r="P40" s="1"/>
      <c r="Q40" s="1"/>
      <c r="R40" s="1"/>
      <c r="S40" s="1"/>
      <c r="T40" s="1"/>
      <c r="U40" s="1"/>
      <c r="V40" s="1"/>
      <c r="W40" s="1"/>
      <c r="X40" s="1"/>
      <c r="Y40" s="1"/>
      <c r="Z40" s="1"/>
    </row>
    <row r="41">
      <c r="A41" s="1"/>
      <c r="B41" s="1"/>
      <c r="C41" s="1"/>
      <c r="D41" s="1"/>
      <c r="E41" s="1"/>
      <c r="F41" s="1"/>
      <c r="G41" s="1"/>
      <c r="H41" s="1"/>
      <c r="I41" s="1"/>
      <c r="J41" s="1"/>
      <c r="K41" s="1"/>
      <c r="L41" s="1"/>
      <c r="M41" s="1"/>
      <c r="N41" s="1"/>
      <c r="O41" s="1"/>
      <c r="P41" s="1"/>
      <c r="Q41" s="1"/>
      <c r="R41" s="1"/>
      <c r="S41" s="1"/>
      <c r="T41" s="1"/>
      <c r="U41" s="1"/>
      <c r="V41" s="1"/>
      <c r="W41" s="1"/>
      <c r="X41" s="1"/>
      <c r="Y41" s="1"/>
      <c r="Z41" s="1"/>
    </row>
    <row r="42">
      <c r="A42" s="1"/>
      <c r="B42" s="1"/>
      <c r="C42" s="1"/>
      <c r="D42" s="1"/>
      <c r="E42" s="1"/>
      <c r="F42" s="1"/>
      <c r="G42" s="1"/>
      <c r="H42" s="1"/>
      <c r="I42" s="1"/>
      <c r="J42" s="1"/>
      <c r="K42" s="1"/>
      <c r="L42" s="1"/>
      <c r="M42" s="1"/>
      <c r="N42" s="1"/>
      <c r="O42" s="1"/>
      <c r="P42" s="1"/>
      <c r="Q42" s="1"/>
      <c r="R42" s="1"/>
      <c r="S42" s="1"/>
      <c r="T42" s="1"/>
      <c r="U42" s="1"/>
      <c r="V42" s="1"/>
      <c r="W42" s="1"/>
      <c r="X42" s="1"/>
      <c r="Y42" s="1"/>
      <c r="Z42" s="1"/>
    </row>
    <row r="43">
      <c r="A43" s="1"/>
      <c r="B43" s="1"/>
      <c r="C43" s="1"/>
      <c r="D43" s="1"/>
      <c r="E43" s="1"/>
      <c r="F43" s="1"/>
      <c r="G43" s="1"/>
      <c r="H43" s="1"/>
      <c r="I43" s="1"/>
      <c r="J43" s="1"/>
      <c r="K43" s="1"/>
      <c r="L43" s="1"/>
      <c r="M43" s="1"/>
      <c r="N43" s="1"/>
      <c r="O43" s="1"/>
      <c r="P43" s="1"/>
      <c r="Q43" s="1"/>
      <c r="R43" s="1"/>
      <c r="S43" s="1"/>
      <c r="T43" s="1"/>
      <c r="U43" s="1"/>
      <c r="V43" s="1"/>
      <c r="W43" s="1"/>
      <c r="X43" s="1"/>
      <c r="Y43" s="1"/>
      <c r="Z43" s="1"/>
    </row>
    <row r="44">
      <c r="A44" s="1"/>
      <c r="B44" s="1"/>
      <c r="C44" s="1"/>
      <c r="D44" s="1"/>
      <c r="E44" s="1"/>
      <c r="F44" s="1"/>
      <c r="G44" s="1"/>
      <c r="H44" s="1"/>
      <c r="I44" s="1"/>
      <c r="J44" s="1"/>
      <c r="K44" s="1"/>
      <c r="L44" s="1"/>
      <c r="M44" s="1"/>
      <c r="N44" s="1"/>
      <c r="O44" s="1"/>
      <c r="P44" s="1"/>
      <c r="Q44" s="1"/>
      <c r="R44" s="1"/>
      <c r="S44" s="1"/>
      <c r="T44" s="1"/>
      <c r="U44" s="1"/>
      <c r="V44" s="1"/>
      <c r="W44" s="1"/>
      <c r="X44" s="1"/>
      <c r="Y44" s="1"/>
      <c r="Z44" s="1"/>
    </row>
    <row r="45">
      <c r="A45" s="1"/>
      <c r="B45" s="1"/>
      <c r="C45" s="1"/>
      <c r="D45" s="1"/>
      <c r="E45" s="1"/>
      <c r="F45" s="1"/>
      <c r="G45" s="1"/>
      <c r="H45" s="1"/>
      <c r="I45" s="1"/>
      <c r="J45" s="1"/>
      <c r="K45" s="1"/>
      <c r="L45" s="1"/>
      <c r="M45" s="1"/>
      <c r="N45" s="1"/>
      <c r="O45" s="1"/>
      <c r="P45" s="1"/>
      <c r="Q45" s="1"/>
      <c r="R45" s="1"/>
      <c r="S45" s="1"/>
      <c r="T45" s="1"/>
      <c r="U45" s="1"/>
      <c r="V45" s="1"/>
      <c r="W45" s="1"/>
      <c r="X45" s="1"/>
      <c r="Y45" s="1"/>
      <c r="Z45" s="1"/>
    </row>
    <row r="46">
      <c r="A46" s="1"/>
      <c r="B46" s="1"/>
      <c r="C46" s="1"/>
      <c r="D46" s="1"/>
      <c r="E46" s="1"/>
      <c r="F46" s="1"/>
      <c r="G46" s="1"/>
      <c r="H46" s="1"/>
      <c r="I46" s="1"/>
      <c r="J46" s="1"/>
      <c r="K46" s="1"/>
      <c r="L46" s="1"/>
      <c r="M46" s="1"/>
      <c r="N46" s="1"/>
      <c r="O46" s="1"/>
      <c r="P46" s="1"/>
      <c r="Q46" s="1"/>
      <c r="R46" s="1"/>
      <c r="S46" s="1"/>
      <c r="T46" s="1"/>
      <c r="U46" s="1"/>
      <c r="V46" s="1"/>
      <c r="W46" s="1"/>
      <c r="X46" s="1"/>
      <c r="Y46" s="1"/>
      <c r="Z46" s="1"/>
    </row>
    <row r="47">
      <c r="A47" s="1"/>
      <c r="B47" s="1"/>
      <c r="C47" s="1"/>
      <c r="D47" s="1"/>
      <c r="E47" s="1"/>
      <c r="F47" s="1"/>
      <c r="G47" s="1"/>
      <c r="H47" s="1"/>
      <c r="I47" s="1"/>
      <c r="J47" s="1"/>
      <c r="K47" s="1"/>
      <c r="L47" s="1"/>
      <c r="M47" s="1"/>
      <c r="N47" s="1"/>
      <c r="O47" s="1"/>
      <c r="P47" s="1"/>
      <c r="Q47" s="1"/>
      <c r="R47" s="1"/>
      <c r="S47" s="1"/>
      <c r="T47" s="1"/>
      <c r="U47" s="1"/>
      <c r="V47" s="1"/>
      <c r="W47" s="1"/>
      <c r="X47" s="1"/>
      <c r="Y47" s="1"/>
      <c r="Z47" s="1"/>
    </row>
    <row r="48">
      <c r="A48" s="1"/>
      <c r="B48" s="1"/>
      <c r="C48" s="1"/>
      <c r="D48" s="1"/>
      <c r="E48" s="1"/>
      <c r="F48" s="1"/>
      <c r="G48" s="1"/>
      <c r="H48" s="1"/>
      <c r="I48" s="1"/>
      <c r="J48" s="1"/>
      <c r="K48" s="1"/>
      <c r="L48" s="1"/>
      <c r="M48" s="1"/>
      <c r="N48" s="1"/>
      <c r="O48" s="1"/>
      <c r="P48" s="1"/>
      <c r="Q48" s="1"/>
      <c r="R48" s="1"/>
      <c r="S48" s="1"/>
      <c r="T48" s="1"/>
      <c r="U48" s="1"/>
      <c r="V48" s="1"/>
      <c r="W48" s="1"/>
      <c r="X48" s="1"/>
      <c r="Y48" s="1"/>
      <c r="Z48" s="1"/>
    </row>
    <row r="49">
      <c r="A49" s="1"/>
      <c r="B49" s="1"/>
      <c r="C49" s="1"/>
      <c r="D49" s="1"/>
      <c r="E49" s="1"/>
      <c r="F49" s="1"/>
      <c r="G49" s="1"/>
      <c r="H49" s="1"/>
      <c r="I49" s="1"/>
      <c r="J49" s="1"/>
      <c r="K49" s="1"/>
      <c r="L49" s="1"/>
      <c r="M49" s="1"/>
      <c r="N49" s="1"/>
      <c r="O49" s="1"/>
      <c r="P49" s="1"/>
      <c r="Q49" s="1"/>
      <c r="R49" s="1"/>
      <c r="S49" s="1"/>
      <c r="T49" s="1"/>
      <c r="U49" s="1"/>
      <c r="V49" s="1"/>
      <c r="W49" s="1"/>
      <c r="X49" s="1"/>
      <c r="Y49" s="1"/>
      <c r="Z49" s="1"/>
    </row>
    <row r="50">
      <c r="A50" s="1"/>
      <c r="B50" s="1"/>
      <c r="C50" s="1"/>
      <c r="D50" s="1"/>
      <c r="E50" s="1"/>
      <c r="F50" s="1"/>
      <c r="G50" s="1"/>
      <c r="H50" s="1"/>
      <c r="I50" s="1"/>
      <c r="J50" s="1"/>
      <c r="K50" s="1"/>
      <c r="L50" s="1"/>
      <c r="M50" s="1"/>
      <c r="N50" s="1"/>
      <c r="O50" s="1"/>
      <c r="P50" s="1"/>
      <c r="Q50" s="1"/>
      <c r="R50" s="1"/>
      <c r="S50" s="1"/>
      <c r="T50" s="1"/>
      <c r="U50" s="1"/>
      <c r="V50" s="1"/>
      <c r="W50" s="1"/>
      <c r="X50" s="1"/>
      <c r="Y50" s="1"/>
      <c r="Z50" s="1"/>
    </row>
    <row r="51">
      <c r="A51" s="1"/>
      <c r="B51" s="1"/>
      <c r="C51" s="1"/>
      <c r="D51" s="1"/>
      <c r="E51" s="1"/>
      <c r="F51" s="1"/>
      <c r="G51" s="1"/>
      <c r="H51" s="1"/>
      <c r="I51" s="1"/>
      <c r="J51" s="1"/>
      <c r="K51" s="1"/>
      <c r="L51" s="1"/>
      <c r="M51" s="1"/>
      <c r="N51" s="1"/>
      <c r="O51" s="1"/>
      <c r="P51" s="1"/>
      <c r="Q51" s="1"/>
      <c r="R51" s="1"/>
      <c r="S51" s="1"/>
      <c r="T51" s="1"/>
      <c r="U51" s="1"/>
      <c r="V51" s="1"/>
      <c r="W51" s="1"/>
      <c r="X51" s="1"/>
      <c r="Y51" s="1"/>
      <c r="Z51" s="1"/>
    </row>
    <row r="52">
      <c r="A52" s="1"/>
      <c r="B52" s="1"/>
      <c r="C52" s="1"/>
      <c r="D52" s="1"/>
      <c r="E52" s="1"/>
      <c r="F52" s="1"/>
      <c r="G52" s="1"/>
      <c r="H52" s="1"/>
      <c r="I52" s="1"/>
      <c r="J52" s="1"/>
      <c r="K52" s="1"/>
      <c r="L52" s="1"/>
      <c r="M52" s="1"/>
      <c r="N52" s="1"/>
      <c r="O52" s="1"/>
      <c r="P52" s="1"/>
      <c r="Q52" s="1"/>
      <c r="R52" s="1"/>
      <c r="S52" s="1"/>
      <c r="T52" s="1"/>
      <c r="U52" s="1"/>
      <c r="V52" s="1"/>
      <c r="W52" s="1"/>
      <c r="X52" s="1"/>
      <c r="Y52" s="1"/>
      <c r="Z52" s="1"/>
    </row>
    <row r="53">
      <c r="A53" s="1"/>
      <c r="B53" s="1"/>
      <c r="C53" s="1"/>
      <c r="D53" s="1"/>
      <c r="E53" s="1"/>
      <c r="F53" s="1"/>
      <c r="G53" s="1"/>
      <c r="H53" s="1"/>
      <c r="I53" s="1"/>
      <c r="J53" s="1"/>
      <c r="K53" s="1"/>
      <c r="L53" s="1"/>
      <c r="M53" s="1"/>
      <c r="N53" s="1"/>
      <c r="O53" s="1"/>
      <c r="P53" s="1"/>
      <c r="Q53" s="1"/>
      <c r="R53" s="1"/>
      <c r="S53" s="1"/>
      <c r="T53" s="1"/>
      <c r="U53" s="1"/>
      <c r="V53" s="1"/>
      <c r="W53" s="1"/>
      <c r="X53" s="1"/>
      <c r="Y53" s="1"/>
      <c r="Z53" s="1"/>
    </row>
    <row r="54">
      <c r="A54" s="1"/>
      <c r="B54" s="1"/>
      <c r="C54" s="1"/>
      <c r="D54" s="1"/>
      <c r="E54" s="1"/>
      <c r="F54" s="1"/>
      <c r="G54" s="1"/>
      <c r="H54" s="1"/>
      <c r="I54" s="1"/>
      <c r="J54" s="1"/>
      <c r="K54" s="1"/>
      <c r="L54" s="1"/>
      <c r="M54" s="1"/>
      <c r="N54" s="1"/>
      <c r="O54" s="1"/>
      <c r="P54" s="1"/>
      <c r="Q54" s="1"/>
      <c r="R54" s="1"/>
      <c r="S54" s="1"/>
      <c r="T54" s="1"/>
      <c r="U54" s="1"/>
      <c r="V54" s="1"/>
      <c r="W54" s="1"/>
      <c r="X54" s="1"/>
      <c r="Y54" s="1"/>
      <c r="Z54" s="1"/>
    </row>
    <row r="55">
      <c r="A55" s="1"/>
      <c r="B55" s="1"/>
      <c r="C55" s="1"/>
      <c r="D55" s="1"/>
      <c r="E55" s="1"/>
      <c r="F55" s="1"/>
      <c r="G55" s="1"/>
      <c r="H55" s="1"/>
      <c r="I55" s="1"/>
      <c r="J55" s="1"/>
      <c r="K55" s="1"/>
      <c r="L55" s="1"/>
      <c r="M55" s="1"/>
      <c r="N55" s="1"/>
      <c r="O55" s="1"/>
      <c r="P55" s="1"/>
      <c r="Q55" s="1"/>
      <c r="R55" s="1"/>
      <c r="S55" s="1"/>
      <c r="T55" s="1"/>
      <c r="U55" s="1"/>
      <c r="V55" s="1"/>
      <c r="W55" s="1"/>
      <c r="X55" s="1"/>
      <c r="Y55" s="1"/>
      <c r="Z55" s="1"/>
    </row>
    <row r="56">
      <c r="A56" s="1"/>
      <c r="B56" s="1"/>
      <c r="C56" s="1"/>
      <c r="D56" s="1"/>
      <c r="E56" s="1"/>
      <c r="F56" s="1"/>
      <c r="G56" s="1"/>
      <c r="H56" s="1"/>
      <c r="I56" s="1"/>
      <c r="J56" s="1"/>
      <c r="K56" s="1"/>
      <c r="L56" s="1"/>
      <c r="M56" s="1"/>
      <c r="N56" s="1"/>
      <c r="O56" s="1"/>
      <c r="P56" s="1"/>
      <c r="Q56" s="1"/>
      <c r="R56" s="1"/>
      <c r="S56" s="1"/>
      <c r="T56" s="1"/>
      <c r="U56" s="1"/>
      <c r="V56" s="1"/>
      <c r="W56" s="1"/>
      <c r="X56" s="1"/>
      <c r="Y56" s="1"/>
      <c r="Z56" s="1"/>
    </row>
    <row r="57">
      <c r="A57" s="1"/>
      <c r="B57" s="1"/>
      <c r="C57" s="1"/>
      <c r="D57" s="1"/>
      <c r="E57" s="1"/>
      <c r="F57" s="1"/>
      <c r="G57" s="1"/>
      <c r="H57" s="1"/>
      <c r="I57" s="1"/>
      <c r="J57" s="1"/>
      <c r="K57" s="1"/>
      <c r="L57" s="1"/>
      <c r="M57" s="1"/>
      <c r="N57" s="1"/>
      <c r="O57" s="1"/>
      <c r="P57" s="1"/>
      <c r="Q57" s="1"/>
      <c r="R57" s="1"/>
      <c r="S57" s="1"/>
      <c r="T57" s="1"/>
      <c r="U57" s="1"/>
      <c r="V57" s="1"/>
      <c r="W57" s="1"/>
      <c r="X57" s="1"/>
      <c r="Y57" s="1"/>
      <c r="Z57" s="1"/>
    </row>
    <row r="58">
      <c r="A58" s="1"/>
      <c r="B58" s="1"/>
      <c r="C58" s="1"/>
      <c r="D58" s="1"/>
      <c r="E58" s="1"/>
      <c r="F58" s="1"/>
      <c r="G58" s="1"/>
      <c r="H58" s="1"/>
      <c r="I58" s="1"/>
      <c r="J58" s="1"/>
      <c r="K58" s="1"/>
      <c r="L58" s="1"/>
      <c r="M58" s="1"/>
      <c r="N58" s="1"/>
      <c r="O58" s="1"/>
      <c r="P58" s="1"/>
      <c r="Q58" s="1"/>
      <c r="R58" s="1"/>
      <c r="S58" s="1"/>
      <c r="T58" s="1"/>
      <c r="U58" s="1"/>
      <c r="V58" s="1"/>
      <c r="W58" s="1"/>
      <c r="X58" s="1"/>
      <c r="Y58" s="1"/>
      <c r="Z58" s="1"/>
    </row>
    <row r="59">
      <c r="A59" s="1"/>
      <c r="B59" s="1"/>
      <c r="C59" s="1"/>
      <c r="D59" s="1"/>
      <c r="E59" s="1"/>
      <c r="F59" s="1"/>
      <c r="G59" s="1"/>
      <c r="H59" s="1"/>
      <c r="I59" s="1"/>
      <c r="J59" s="1"/>
      <c r="K59" s="1"/>
      <c r="L59" s="1"/>
      <c r="M59" s="1"/>
      <c r="N59" s="1"/>
      <c r="O59" s="1"/>
      <c r="P59" s="1"/>
      <c r="Q59" s="1"/>
      <c r="R59" s="1"/>
      <c r="S59" s="1"/>
      <c r="T59" s="1"/>
      <c r="U59" s="1"/>
      <c r="V59" s="1"/>
      <c r="W59" s="1"/>
      <c r="X59" s="1"/>
      <c r="Y59" s="1"/>
      <c r="Z59" s="1"/>
    </row>
    <row r="60">
      <c r="A60" s="1"/>
      <c r="B60" s="1"/>
      <c r="C60" s="1"/>
      <c r="D60" s="1"/>
      <c r="E60" s="1"/>
      <c r="F60" s="1"/>
      <c r="G60" s="1"/>
      <c r="H60" s="1"/>
      <c r="I60" s="1"/>
      <c r="J60" s="1"/>
      <c r="K60" s="1"/>
      <c r="L60" s="1"/>
      <c r="M60" s="1"/>
      <c r="N60" s="1"/>
      <c r="O60" s="1"/>
      <c r="P60" s="1"/>
      <c r="Q60" s="1"/>
      <c r="R60" s="1"/>
      <c r="S60" s="1"/>
      <c r="T60" s="1"/>
      <c r="U60" s="1"/>
      <c r="V60" s="1"/>
      <c r="W60" s="1"/>
      <c r="X60" s="1"/>
      <c r="Y60" s="1"/>
      <c r="Z60" s="1"/>
    </row>
    <row r="61">
      <c r="A61" s="1"/>
      <c r="B61" s="1"/>
      <c r="C61" s="1"/>
      <c r="D61" s="1"/>
      <c r="E61" s="1"/>
      <c r="F61" s="1"/>
      <c r="G61" s="1"/>
      <c r="H61" s="1"/>
      <c r="I61" s="1"/>
      <c r="J61" s="1"/>
      <c r="K61" s="1"/>
      <c r="L61" s="1"/>
      <c r="M61" s="1"/>
      <c r="N61" s="1"/>
      <c r="O61" s="1"/>
      <c r="P61" s="1"/>
      <c r="Q61" s="1"/>
      <c r="R61" s="1"/>
      <c r="S61" s="1"/>
      <c r="T61" s="1"/>
      <c r="U61" s="1"/>
      <c r="V61" s="1"/>
      <c r="W61" s="1"/>
      <c r="X61" s="1"/>
      <c r="Y61" s="1"/>
      <c r="Z61" s="1"/>
    </row>
    <row r="62">
      <c r="A62" s="1"/>
      <c r="B62" s="1"/>
      <c r="C62" s="1"/>
      <c r="D62" s="1"/>
      <c r="E62" s="1"/>
      <c r="F62" s="1"/>
      <c r="G62" s="1"/>
      <c r="H62" s="1"/>
      <c r="I62" s="1"/>
      <c r="J62" s="1"/>
      <c r="K62" s="1"/>
      <c r="L62" s="1"/>
      <c r="M62" s="1"/>
      <c r="N62" s="1"/>
      <c r="O62" s="1"/>
      <c r="P62" s="1"/>
      <c r="Q62" s="1"/>
      <c r="R62" s="1"/>
      <c r="S62" s="1"/>
      <c r="T62" s="1"/>
      <c r="U62" s="1"/>
      <c r="V62" s="1"/>
      <c r="W62" s="1"/>
      <c r="X62" s="1"/>
      <c r="Y62" s="1"/>
      <c r="Z62" s="1"/>
    </row>
    <row r="63">
      <c r="A63" s="1"/>
      <c r="B63" s="1"/>
      <c r="C63" s="1"/>
      <c r="D63" s="1"/>
      <c r="E63" s="1"/>
      <c r="F63" s="1"/>
      <c r="G63" s="1"/>
      <c r="H63" s="1"/>
      <c r="I63" s="1"/>
      <c r="J63" s="1"/>
      <c r="K63" s="1"/>
      <c r="L63" s="1"/>
      <c r="M63" s="1"/>
      <c r="N63" s="1"/>
      <c r="O63" s="1"/>
      <c r="P63" s="1"/>
      <c r="Q63" s="1"/>
      <c r="R63" s="1"/>
      <c r="S63" s="1"/>
      <c r="T63" s="1"/>
      <c r="U63" s="1"/>
      <c r="V63" s="1"/>
      <c r="W63" s="1"/>
      <c r="X63" s="1"/>
      <c r="Y63" s="1"/>
      <c r="Z63" s="1"/>
    </row>
    <row r="64">
      <c r="A64" s="1"/>
      <c r="B64" s="1"/>
      <c r="C64" s="1"/>
      <c r="D64" s="1"/>
      <c r="E64" s="1"/>
      <c r="F64" s="1"/>
      <c r="G64" s="1"/>
      <c r="H64" s="1"/>
      <c r="I64" s="1"/>
      <c r="J64" s="1"/>
      <c r="K64" s="1"/>
      <c r="L64" s="1"/>
      <c r="M64" s="1"/>
      <c r="N64" s="1"/>
      <c r="O64" s="1"/>
      <c r="P64" s="1"/>
      <c r="Q64" s="1"/>
      <c r="R64" s="1"/>
      <c r="S64" s="1"/>
      <c r="T64" s="1"/>
      <c r="U64" s="1"/>
      <c r="V64" s="1"/>
      <c r="W64" s="1"/>
      <c r="X64" s="1"/>
      <c r="Y64" s="1"/>
      <c r="Z64" s="1"/>
    </row>
    <row r="65">
      <c r="A65" s="1"/>
      <c r="B65" s="1"/>
      <c r="C65" s="1"/>
      <c r="D65" s="1"/>
      <c r="E65" s="1"/>
      <c r="F65" s="1"/>
      <c r="G65" s="1"/>
      <c r="H65" s="1"/>
      <c r="I65" s="1"/>
      <c r="J65" s="1"/>
      <c r="K65" s="1"/>
      <c r="L65" s="1"/>
      <c r="M65" s="1"/>
      <c r="N65" s="1"/>
      <c r="O65" s="1"/>
      <c r="P65" s="1"/>
      <c r="Q65" s="1"/>
      <c r="R65" s="1"/>
      <c r="S65" s="1"/>
      <c r="T65" s="1"/>
      <c r="U65" s="1"/>
      <c r="V65" s="1"/>
      <c r="W65" s="1"/>
      <c r="X65" s="1"/>
      <c r="Y65" s="1"/>
      <c r="Z65" s="1"/>
    </row>
    <row r="66">
      <c r="A66" s="1"/>
      <c r="B66" s="1"/>
      <c r="C66" s="1"/>
      <c r="D66" s="1"/>
      <c r="E66" s="1"/>
      <c r="F66" s="1"/>
      <c r="G66" s="1"/>
      <c r="H66" s="1"/>
      <c r="I66" s="1"/>
      <c r="J66" s="1"/>
      <c r="K66" s="1"/>
      <c r="L66" s="1"/>
      <c r="M66" s="1"/>
      <c r="N66" s="1"/>
      <c r="O66" s="1"/>
      <c r="P66" s="1"/>
      <c r="Q66" s="1"/>
      <c r="R66" s="1"/>
      <c r="S66" s="1"/>
      <c r="T66" s="1"/>
      <c r="U66" s="1"/>
      <c r="V66" s="1"/>
      <c r="W66" s="1"/>
      <c r="X66" s="1"/>
      <c r="Y66" s="1"/>
      <c r="Z66" s="1"/>
    </row>
    <row r="67">
      <c r="A67" s="1"/>
      <c r="B67" s="1"/>
      <c r="C67" s="1"/>
      <c r="D67" s="1"/>
      <c r="E67" s="1"/>
      <c r="F67" s="1"/>
      <c r="G67" s="1"/>
      <c r="H67" s="1"/>
      <c r="I67" s="1"/>
      <c r="J67" s="1"/>
      <c r="K67" s="1"/>
      <c r="L67" s="1"/>
      <c r="M67" s="1"/>
      <c r="N67" s="1"/>
      <c r="O67" s="1"/>
      <c r="P67" s="1"/>
      <c r="Q67" s="1"/>
      <c r="R67" s="1"/>
      <c r="S67" s="1"/>
      <c r="T67" s="1"/>
      <c r="U67" s="1"/>
      <c r="V67" s="1"/>
      <c r="W67" s="1"/>
      <c r="X67" s="1"/>
      <c r="Y67" s="1"/>
      <c r="Z67" s="1"/>
    </row>
    <row r="68">
      <c r="A68" s="1"/>
      <c r="B68" s="1"/>
      <c r="C68" s="1"/>
      <c r="D68" s="1"/>
      <c r="E68" s="1"/>
      <c r="F68" s="1"/>
      <c r="G68" s="1"/>
      <c r="H68" s="1"/>
      <c r="I68" s="1"/>
      <c r="J68" s="1"/>
      <c r="K68" s="1"/>
      <c r="L68" s="1"/>
      <c r="M68" s="1"/>
      <c r="N68" s="1"/>
      <c r="O68" s="1"/>
      <c r="P68" s="1"/>
      <c r="Q68" s="1"/>
      <c r="R68" s="1"/>
      <c r="S68" s="1"/>
      <c r="T68" s="1"/>
      <c r="U68" s="1"/>
      <c r="V68" s="1"/>
      <c r="W68" s="1"/>
      <c r="X68" s="1"/>
      <c r="Y68" s="1"/>
      <c r="Z68" s="1"/>
    </row>
    <row r="69">
      <c r="A69" s="1"/>
      <c r="B69" s="1"/>
      <c r="C69" s="1"/>
      <c r="D69" s="1"/>
      <c r="E69" s="1"/>
      <c r="F69" s="1"/>
      <c r="G69" s="1"/>
      <c r="H69" s="1"/>
      <c r="I69" s="1"/>
      <c r="J69" s="1"/>
      <c r="K69" s="1"/>
      <c r="L69" s="1"/>
      <c r="M69" s="1"/>
      <c r="N69" s="1"/>
      <c r="O69" s="1"/>
      <c r="P69" s="1"/>
      <c r="Q69" s="1"/>
      <c r="R69" s="1"/>
      <c r="S69" s="1"/>
      <c r="T69" s="1"/>
      <c r="U69" s="1"/>
      <c r="V69" s="1"/>
      <c r="W69" s="1"/>
      <c r="X69" s="1"/>
      <c r="Y69" s="1"/>
      <c r="Z69" s="1"/>
    </row>
    <row r="70">
      <c r="A70" s="1"/>
      <c r="B70" s="1"/>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showGridLines="0" workbookViewId="0"/>
  </sheetViews>
  <sheetFormatPr customHeight="1" defaultColWidth="14.43" defaultRowHeight="15.0"/>
  <cols>
    <col customWidth="1" min="2" max="2" width="59.29"/>
    <col customWidth="1" min="3" max="3" width="47.14"/>
    <col customWidth="1" min="4" max="4" width="26.29"/>
    <col customWidth="1" min="5" max="5" width="26.43"/>
    <col customWidth="1" min="6" max="6" width="18.86"/>
  </cols>
  <sheetData>
    <row r="2">
      <c r="B2" s="90" t="s">
        <v>280</v>
      </c>
    </row>
    <row r="4">
      <c r="B4" s="91" t="s">
        <v>281</v>
      </c>
      <c r="C4" s="92"/>
      <c r="D4" s="92"/>
      <c r="E4" s="92"/>
      <c r="F4" s="93"/>
    </row>
    <row r="5">
      <c r="B5" s="94"/>
      <c r="C5" s="95"/>
      <c r="D5" s="96"/>
      <c r="E5" s="96"/>
      <c r="F5" s="97"/>
    </row>
    <row r="6">
      <c r="B6" s="98" t="s">
        <v>87</v>
      </c>
      <c r="C6" s="95" t="s">
        <v>88</v>
      </c>
      <c r="D6" s="96"/>
      <c r="E6" s="96"/>
      <c r="F6" s="97"/>
    </row>
    <row r="7">
      <c r="B7" s="94"/>
      <c r="C7" s="96"/>
      <c r="D7" s="96"/>
      <c r="E7" s="96"/>
      <c r="F7" s="97"/>
    </row>
    <row r="8">
      <c r="B8" s="94"/>
      <c r="C8" s="96"/>
      <c r="D8" s="99" t="s">
        <v>89</v>
      </c>
      <c r="E8" s="99" t="s">
        <v>90</v>
      </c>
      <c r="F8" s="100" t="s">
        <v>91</v>
      </c>
    </row>
    <row r="9">
      <c r="B9" s="94"/>
      <c r="C9" s="96"/>
      <c r="D9" s="96"/>
      <c r="E9" s="96"/>
      <c r="F9" s="97"/>
    </row>
    <row r="10">
      <c r="B10" s="94"/>
      <c r="C10" s="96" t="s">
        <v>92</v>
      </c>
      <c r="D10" s="101">
        <f>'Budget Summary'!D74</f>
        <v>7.28</v>
      </c>
      <c r="E10" s="102">
        <f>'Budget Summary'!E74</f>
        <v>1</v>
      </c>
      <c r="F10" s="103">
        <f>'Budget Summary'!F74</f>
        <v>7.28</v>
      </c>
    </row>
    <row r="11">
      <c r="B11" s="94"/>
      <c r="C11" s="96" t="s">
        <v>93</v>
      </c>
      <c r="D11" s="101">
        <f>'Budget Summary'!D75</f>
        <v>0.73</v>
      </c>
      <c r="E11" s="102">
        <f>'Budget Summary'!E75</f>
        <v>0.1643835616</v>
      </c>
      <c r="F11" s="103">
        <f>'Budget Summary'!F75</f>
        <v>0.12</v>
      </c>
    </row>
    <row r="12">
      <c r="B12" s="94"/>
      <c r="C12" s="96" t="s">
        <v>94</v>
      </c>
      <c r="D12" s="101">
        <f>'Budget Summary'!D76</f>
        <v>1.98</v>
      </c>
      <c r="E12" s="102">
        <f>'Budget Summary'!E76</f>
        <v>0.07070707071</v>
      </c>
      <c r="F12" s="103">
        <f>'Budget Summary'!F76</f>
        <v>0.14</v>
      </c>
    </row>
    <row r="13">
      <c r="B13" s="94"/>
      <c r="C13" s="96" t="s">
        <v>95</v>
      </c>
      <c r="D13" s="101">
        <f>'Budget Summary'!D77</f>
        <v>0.68</v>
      </c>
      <c r="E13" s="102">
        <f>'Budget Summary'!E77</f>
        <v>1</v>
      </c>
      <c r="F13" s="103">
        <f>'Budget Summary'!F77</f>
        <v>0.68</v>
      </c>
    </row>
    <row r="14">
      <c r="B14" s="94"/>
      <c r="C14" s="96"/>
      <c r="D14" s="96"/>
      <c r="E14" s="96"/>
      <c r="F14" s="97"/>
    </row>
    <row r="15">
      <c r="B15" s="94"/>
      <c r="C15" s="95" t="s">
        <v>96</v>
      </c>
      <c r="D15" s="96"/>
      <c r="E15" s="96"/>
      <c r="F15" s="104">
        <f>'Budget Summary'!F79</f>
        <v>8.22</v>
      </c>
    </row>
    <row r="16">
      <c r="B16" s="94"/>
      <c r="C16" s="96"/>
      <c r="D16" s="96"/>
      <c r="E16" s="96"/>
      <c r="F16" s="97"/>
    </row>
    <row r="17">
      <c r="B17" s="94"/>
      <c r="C17" s="95" t="s">
        <v>97</v>
      </c>
      <c r="D17" s="95"/>
      <c r="E17" s="95"/>
      <c r="F17" s="104">
        <f>'Budget Summary'!F81</f>
        <v>975</v>
      </c>
    </row>
    <row r="18">
      <c r="B18" s="94"/>
      <c r="C18" s="95" t="s">
        <v>98</v>
      </c>
      <c r="D18" s="95"/>
      <c r="E18" s="95"/>
      <c r="F18" s="104">
        <f>'Budget Summary'!F82</f>
        <v>1.15</v>
      </c>
    </row>
    <row r="19">
      <c r="B19" s="94"/>
      <c r="C19" s="95" t="s">
        <v>99</v>
      </c>
      <c r="D19" s="95"/>
      <c r="E19" s="95"/>
      <c r="F19" s="104">
        <f>'Budget Summary'!F83</f>
        <v>11.81</v>
      </c>
    </row>
    <row r="20">
      <c r="B20" s="94"/>
      <c r="C20" s="95" t="s">
        <v>100</v>
      </c>
      <c r="D20" s="95"/>
      <c r="E20" s="95"/>
      <c r="F20" s="104">
        <f>'Budget Summary'!F84</f>
        <v>11.69</v>
      </c>
    </row>
    <row r="21">
      <c r="B21" s="94"/>
      <c r="C21" s="95" t="s">
        <v>101</v>
      </c>
      <c r="D21" s="95"/>
      <c r="E21" s="95"/>
      <c r="F21" s="104">
        <f>'Budget Summary'!F85</f>
        <v>16.14</v>
      </c>
    </row>
    <row r="22">
      <c r="B22" s="94"/>
      <c r="C22" s="96"/>
      <c r="D22" s="96"/>
      <c r="E22" s="96"/>
      <c r="F22" s="97"/>
    </row>
    <row r="23">
      <c r="B23" s="98" t="s">
        <v>102</v>
      </c>
      <c r="C23" s="96"/>
      <c r="D23" s="96"/>
      <c r="E23" s="96"/>
      <c r="F23" s="97"/>
    </row>
    <row r="24">
      <c r="B24" s="94"/>
      <c r="C24" s="96"/>
      <c r="D24" s="96"/>
      <c r="E24" s="96"/>
      <c r="F24" s="97"/>
    </row>
    <row r="25">
      <c r="B25" s="94"/>
      <c r="C25" s="96"/>
      <c r="D25" s="96" t="s">
        <v>103</v>
      </c>
      <c r="E25" s="96" t="s">
        <v>104</v>
      </c>
      <c r="F25" s="105"/>
    </row>
    <row r="26">
      <c r="B26" s="94" t="s">
        <v>105</v>
      </c>
      <c r="C26" s="106">
        <f>iferror(vlookup('Budget Summary'!$C$2,Lookups!$A:$DP,94,0),0)</f>
        <v>21</v>
      </c>
      <c r="D26" s="96">
        <f>C26*15</f>
        <v>315</v>
      </c>
      <c r="E26" s="96">
        <f t="shared" ref="E26:E27" si="1">D26*13</f>
        <v>4095</v>
      </c>
      <c r="F26" s="97">
        <f>E26*F15</f>
        <v>33660.9</v>
      </c>
    </row>
    <row r="27">
      <c r="B27" s="94" t="s">
        <v>106</v>
      </c>
      <c r="C27" s="106">
        <f>iferror(vlookup('Budget Summary'!$C$2,Lookups!$A:$DP,95,0),0)</f>
        <v>5</v>
      </c>
      <c r="D27" s="96">
        <f>C27*30</f>
        <v>150</v>
      </c>
      <c r="E27" s="96">
        <f t="shared" si="1"/>
        <v>1950</v>
      </c>
      <c r="F27" s="97">
        <f>E27*F15</f>
        <v>16029</v>
      </c>
    </row>
    <row r="28">
      <c r="B28" s="94"/>
      <c r="C28" s="96"/>
      <c r="D28" s="96"/>
      <c r="E28" s="96"/>
      <c r="F28" s="97"/>
    </row>
    <row r="29">
      <c r="B29" s="94"/>
      <c r="C29" s="96"/>
      <c r="D29" s="92" t="s">
        <v>107</v>
      </c>
      <c r="E29" s="92">
        <f t="shared" ref="E29:F29" si="2">E26+E27</f>
        <v>6045</v>
      </c>
      <c r="F29" s="107">
        <f t="shared" si="2"/>
        <v>49689.9</v>
      </c>
    </row>
    <row r="30">
      <c r="B30" s="94"/>
      <c r="C30" s="96"/>
      <c r="D30" s="96"/>
      <c r="E30" s="96"/>
      <c r="F30" s="97"/>
    </row>
    <row r="31">
      <c r="B31" s="98" t="s">
        <v>108</v>
      </c>
      <c r="C31" s="96"/>
      <c r="D31" s="96"/>
      <c r="E31" s="96"/>
      <c r="F31" s="97"/>
    </row>
    <row r="32">
      <c r="B32" s="94"/>
      <c r="C32" s="96"/>
      <c r="D32" s="96"/>
      <c r="E32" s="96"/>
      <c r="F32" s="97"/>
    </row>
    <row r="33">
      <c r="B33" s="94"/>
      <c r="C33" s="96"/>
      <c r="D33" s="96" t="s">
        <v>103</v>
      </c>
      <c r="E33" s="96" t="s">
        <v>104</v>
      </c>
      <c r="F33" s="105" t="s">
        <v>109</v>
      </c>
    </row>
    <row r="34">
      <c r="B34" s="94" t="s">
        <v>110</v>
      </c>
      <c r="C34" s="106">
        <f>iferror(vlookup('Budget Summary'!$C$2,Lookups!$A:$DP,96,0),0)</f>
        <v>0</v>
      </c>
      <c r="D34" s="96">
        <f>C34*15</f>
        <v>0</v>
      </c>
      <c r="E34" s="96">
        <f t="shared" ref="E34:E35" si="3">D34*13</f>
        <v>0</v>
      </c>
      <c r="F34" s="97">
        <f t="shared" ref="F34:F35" si="4">E34*F19</f>
        <v>0</v>
      </c>
    </row>
    <row r="35">
      <c r="B35" s="108" t="s">
        <v>111</v>
      </c>
      <c r="C35" s="106">
        <f>iferror(vlookup('Budget Summary'!$C$2,Lookups!$A:$DP,97,0),0)</f>
        <v>0</v>
      </c>
      <c r="D35" s="96">
        <f>C35*30</f>
        <v>0</v>
      </c>
      <c r="E35" s="96">
        <f t="shared" si="3"/>
        <v>0</v>
      </c>
      <c r="F35" s="97">
        <f t="shared" si="4"/>
        <v>0</v>
      </c>
    </row>
    <row r="36">
      <c r="B36" s="94"/>
      <c r="C36" s="96"/>
      <c r="D36" s="96"/>
      <c r="E36" s="96"/>
      <c r="F36" s="97"/>
    </row>
    <row r="37">
      <c r="B37" s="94"/>
      <c r="C37" s="96"/>
      <c r="D37" s="92" t="s">
        <v>107</v>
      </c>
      <c r="E37" s="92">
        <f t="shared" ref="E37:F37" si="5">E34+E35</f>
        <v>0</v>
      </c>
      <c r="F37" s="107">
        <f t="shared" si="5"/>
        <v>0</v>
      </c>
    </row>
    <row r="38">
      <c r="B38" s="94"/>
      <c r="C38" s="96"/>
      <c r="D38" s="96"/>
      <c r="E38" s="96"/>
      <c r="F38" s="97"/>
    </row>
    <row r="39">
      <c r="B39" s="98" t="s">
        <v>112</v>
      </c>
      <c r="C39" s="96"/>
      <c r="D39" s="96"/>
      <c r="E39" s="96"/>
      <c r="F39" s="97"/>
    </row>
    <row r="40">
      <c r="B40" s="94"/>
      <c r="C40" s="96"/>
      <c r="D40" s="96"/>
      <c r="E40" s="96"/>
      <c r="F40" s="97"/>
    </row>
    <row r="41">
      <c r="B41" s="94"/>
      <c r="C41" s="96"/>
      <c r="D41" s="96" t="s">
        <v>103</v>
      </c>
      <c r="E41" s="96" t="s">
        <v>104</v>
      </c>
      <c r="F41" s="105" t="s">
        <v>109</v>
      </c>
    </row>
    <row r="42">
      <c r="B42" s="108" t="s">
        <v>111</v>
      </c>
      <c r="C42" s="106">
        <v>0.0</v>
      </c>
      <c r="D42" s="96">
        <f>C42*30</f>
        <v>0</v>
      </c>
      <c r="E42" s="96">
        <f>D42*13</f>
        <v>0</v>
      </c>
      <c r="F42" s="97">
        <f>E42*F21</f>
        <v>0</v>
      </c>
    </row>
    <row r="43">
      <c r="B43" s="94"/>
      <c r="C43" s="96"/>
      <c r="D43" s="96"/>
      <c r="E43" s="96"/>
      <c r="F43" s="97"/>
    </row>
    <row r="44">
      <c r="B44" s="94"/>
      <c r="C44" s="96"/>
      <c r="D44" s="92" t="s">
        <v>107</v>
      </c>
      <c r="E44" s="92">
        <f t="shared" ref="E44:F44" si="6">E42</f>
        <v>0</v>
      </c>
      <c r="F44" s="107">
        <f t="shared" si="6"/>
        <v>0</v>
      </c>
    </row>
    <row r="45">
      <c r="B45" s="94"/>
      <c r="C45" s="96"/>
      <c r="D45" s="96"/>
      <c r="E45" s="96"/>
      <c r="F45" s="97"/>
    </row>
    <row r="46">
      <c r="B46" s="98" t="s">
        <v>113</v>
      </c>
      <c r="C46" s="96"/>
      <c r="D46" s="96"/>
      <c r="E46" s="96"/>
      <c r="F46" s="97"/>
    </row>
    <row r="47">
      <c r="B47" s="94"/>
      <c r="C47" s="96"/>
      <c r="D47" s="96"/>
      <c r="E47" s="96"/>
      <c r="F47" s="97"/>
    </row>
    <row r="48">
      <c r="B48" s="94"/>
      <c r="C48" s="96"/>
      <c r="D48" s="96" t="s">
        <v>103</v>
      </c>
      <c r="E48" s="109" t="s">
        <v>114</v>
      </c>
      <c r="F48" s="105"/>
    </row>
    <row r="49">
      <c r="B49" s="94" t="s">
        <v>105</v>
      </c>
      <c r="C49" s="106">
        <f>iferror(vlookup('Budget Summary'!$C$2,Lookups!$A:$DP,98,0),0)</f>
        <v>6</v>
      </c>
      <c r="D49" s="96">
        <f>C49*15</f>
        <v>90</v>
      </c>
      <c r="E49" s="96">
        <f t="shared" ref="E49:E50" si="7">D49*14</f>
        <v>1260</v>
      </c>
      <c r="F49" s="97">
        <f>E49*F15</f>
        <v>10357.2</v>
      </c>
    </row>
    <row r="50">
      <c r="B50" s="94" t="s">
        <v>106</v>
      </c>
      <c r="C50" s="106">
        <f>iferror(vlookup('Budget Summary'!$C$2,Lookups!$A:$DP,99,0),0)</f>
        <v>8</v>
      </c>
      <c r="D50" s="96">
        <f>C50*30</f>
        <v>240</v>
      </c>
      <c r="E50" s="96">
        <f t="shared" si="7"/>
        <v>3360</v>
      </c>
      <c r="F50" s="97">
        <f>E50*F15</f>
        <v>27619.2</v>
      </c>
    </row>
    <row r="51">
      <c r="B51" s="94"/>
      <c r="C51" s="96"/>
      <c r="D51" s="96"/>
      <c r="E51" s="96"/>
      <c r="F51" s="97"/>
    </row>
    <row r="52">
      <c r="B52" s="94"/>
      <c r="C52" s="96"/>
      <c r="D52" s="92" t="s">
        <v>107</v>
      </c>
      <c r="E52" s="92">
        <f t="shared" ref="E52:F52" si="8">E49+E50</f>
        <v>4620</v>
      </c>
      <c r="F52" s="107">
        <f t="shared" si="8"/>
        <v>37976.4</v>
      </c>
    </row>
    <row r="53">
      <c r="B53" s="94"/>
      <c r="C53" s="96"/>
      <c r="D53" s="96"/>
      <c r="E53" s="96"/>
      <c r="F53" s="97"/>
    </row>
    <row r="54">
      <c r="B54" s="98" t="s">
        <v>115</v>
      </c>
      <c r="C54" s="96"/>
      <c r="D54" s="96"/>
      <c r="E54" s="96"/>
      <c r="F54" s="97"/>
    </row>
    <row r="55">
      <c r="B55" s="94"/>
      <c r="C55" s="96"/>
      <c r="D55" s="96"/>
      <c r="E55" s="96"/>
      <c r="F55" s="97"/>
    </row>
    <row r="56">
      <c r="B56" s="94"/>
      <c r="C56" s="96"/>
      <c r="D56" s="96" t="s">
        <v>103</v>
      </c>
      <c r="E56" s="109" t="s">
        <v>114</v>
      </c>
      <c r="F56" s="105" t="s">
        <v>109</v>
      </c>
    </row>
    <row r="57">
      <c r="B57" s="94" t="s">
        <v>110</v>
      </c>
      <c r="C57" s="106">
        <f>iferror(vlookup('Budget Summary'!$C$2,Lookups!$A:$DP,100,0),0)</f>
        <v>0</v>
      </c>
      <c r="D57" s="96">
        <f>C57*15</f>
        <v>0</v>
      </c>
      <c r="E57" s="96">
        <f t="shared" ref="E57:E58" si="9">D57*14</f>
        <v>0</v>
      </c>
      <c r="F57" s="97">
        <f t="shared" ref="F57:F58" si="10">E57*F19</f>
        <v>0</v>
      </c>
    </row>
    <row r="58">
      <c r="B58" s="94" t="s">
        <v>111</v>
      </c>
      <c r="C58" s="106">
        <f>iferror(vlookup('Budget Summary'!$C$2,Lookups!$A:$DP,101,0),0)</f>
        <v>0</v>
      </c>
      <c r="D58" s="96">
        <f>C58*30</f>
        <v>0</v>
      </c>
      <c r="E58" s="96">
        <f t="shared" si="9"/>
        <v>0</v>
      </c>
      <c r="F58" s="97">
        <f t="shared" si="10"/>
        <v>0</v>
      </c>
    </row>
    <row r="59">
      <c r="B59" s="94"/>
      <c r="C59" s="96"/>
      <c r="D59" s="96"/>
      <c r="E59" s="96"/>
      <c r="F59" s="97"/>
    </row>
    <row r="60">
      <c r="B60" s="94"/>
      <c r="C60" s="96"/>
      <c r="D60" s="92" t="s">
        <v>107</v>
      </c>
      <c r="E60" s="92">
        <f t="shared" ref="E60:F60" si="11">E57+E58</f>
        <v>0</v>
      </c>
      <c r="F60" s="107">
        <f t="shared" si="11"/>
        <v>0</v>
      </c>
    </row>
    <row r="61">
      <c r="B61" s="94"/>
      <c r="C61" s="96"/>
      <c r="D61" s="96"/>
      <c r="E61" s="96"/>
      <c r="F61" s="97"/>
    </row>
    <row r="62">
      <c r="B62" s="98" t="s">
        <v>116</v>
      </c>
      <c r="C62" s="96"/>
      <c r="D62" s="96"/>
      <c r="E62" s="96"/>
      <c r="F62" s="97"/>
    </row>
    <row r="63">
      <c r="B63" s="94"/>
      <c r="C63" s="96"/>
      <c r="D63" s="96"/>
      <c r="E63" s="96"/>
      <c r="F63" s="97"/>
    </row>
    <row r="64">
      <c r="B64" s="94"/>
      <c r="C64" s="96"/>
      <c r="D64" s="96" t="s">
        <v>103</v>
      </c>
      <c r="E64" s="109" t="s">
        <v>114</v>
      </c>
      <c r="F64" s="105" t="s">
        <v>109</v>
      </c>
    </row>
    <row r="65">
      <c r="B65" s="94" t="s">
        <v>111</v>
      </c>
      <c r="C65" s="106">
        <v>0.0</v>
      </c>
      <c r="D65" s="96">
        <f>C65*30</f>
        <v>0</v>
      </c>
      <c r="E65" s="96">
        <f>D65*14</f>
        <v>0</v>
      </c>
      <c r="F65" s="97">
        <f>E65*F21</f>
        <v>0</v>
      </c>
    </row>
    <row r="66">
      <c r="B66" s="94"/>
      <c r="C66" s="96"/>
      <c r="D66" s="96"/>
      <c r="E66" s="96"/>
      <c r="F66" s="97"/>
    </row>
    <row r="67">
      <c r="B67" s="94"/>
      <c r="C67" s="96"/>
      <c r="D67" s="92" t="s">
        <v>107</v>
      </c>
      <c r="E67" s="92">
        <f t="shared" ref="E67:F67" si="12">E65</f>
        <v>0</v>
      </c>
      <c r="F67" s="107">
        <f t="shared" si="12"/>
        <v>0</v>
      </c>
    </row>
    <row r="68">
      <c r="B68" s="94"/>
      <c r="C68" s="96"/>
      <c r="D68" s="96"/>
      <c r="E68" s="96"/>
      <c r="F68" s="97"/>
    </row>
    <row r="69">
      <c r="B69" s="98" t="s">
        <v>117</v>
      </c>
      <c r="C69" s="96"/>
      <c r="D69" s="96"/>
      <c r="E69" s="96"/>
      <c r="F69" s="97"/>
    </row>
    <row r="70">
      <c r="B70" s="94"/>
      <c r="C70" s="96"/>
      <c r="D70" s="96"/>
      <c r="E70" s="96"/>
      <c r="F70" s="97"/>
    </row>
    <row r="71">
      <c r="B71" s="94"/>
      <c r="C71" s="96"/>
      <c r="D71" s="96" t="s">
        <v>103</v>
      </c>
      <c r="E71" s="109" t="s">
        <v>118</v>
      </c>
      <c r="F71" s="105"/>
    </row>
    <row r="72">
      <c r="B72" s="94" t="s">
        <v>105</v>
      </c>
      <c r="C72" s="106">
        <f>iferror(vlookup('Budget Summary'!$C$2,Lookups!$A:$DP,102,0),0)</f>
        <v>22</v>
      </c>
      <c r="D72" s="96">
        <f>C72*15</f>
        <v>330</v>
      </c>
      <c r="E72" s="96">
        <f t="shared" ref="E72:E73" si="13">D72*11</f>
        <v>3630</v>
      </c>
      <c r="F72" s="97">
        <f>E72*F15</f>
        <v>29838.6</v>
      </c>
    </row>
    <row r="73">
      <c r="B73" s="94" t="s">
        <v>106</v>
      </c>
      <c r="C73" s="106">
        <f>iferror(vlookup('Budget Summary'!$C$2,Lookups!$A:$DP,103,0),0)</f>
        <v>5</v>
      </c>
      <c r="D73" s="96">
        <f>C73*30</f>
        <v>150</v>
      </c>
      <c r="E73" s="96">
        <f t="shared" si="13"/>
        <v>1650</v>
      </c>
      <c r="F73" s="97">
        <f>E73*F15</f>
        <v>13563</v>
      </c>
    </row>
    <row r="74">
      <c r="B74" s="94"/>
      <c r="C74" s="96"/>
      <c r="D74" s="96"/>
      <c r="E74" s="96"/>
      <c r="F74" s="97"/>
    </row>
    <row r="75">
      <c r="B75" s="94"/>
      <c r="C75" s="96"/>
      <c r="D75" s="92" t="s">
        <v>107</v>
      </c>
      <c r="E75" s="92">
        <f t="shared" ref="E75:F75" si="14">E72+E73</f>
        <v>5280</v>
      </c>
      <c r="F75" s="107">
        <f t="shared" si="14"/>
        <v>43401.6</v>
      </c>
    </row>
    <row r="76">
      <c r="B76" s="94"/>
      <c r="C76" s="96"/>
      <c r="D76" s="96"/>
      <c r="E76" s="96"/>
      <c r="F76" s="97"/>
    </row>
    <row r="77">
      <c r="B77" s="98" t="s">
        <v>119</v>
      </c>
      <c r="C77" s="96"/>
      <c r="D77" s="96"/>
      <c r="E77" s="96"/>
      <c r="F77" s="97"/>
    </row>
    <row r="78">
      <c r="B78" s="94"/>
      <c r="C78" s="96"/>
      <c r="D78" s="96"/>
      <c r="E78" s="96"/>
      <c r="F78" s="97"/>
    </row>
    <row r="79">
      <c r="B79" s="94"/>
      <c r="C79" s="96"/>
      <c r="D79" s="96" t="s">
        <v>103</v>
      </c>
      <c r="E79" s="109" t="s">
        <v>118</v>
      </c>
      <c r="F79" s="105" t="s">
        <v>109</v>
      </c>
    </row>
    <row r="80">
      <c r="B80" s="94" t="s">
        <v>110</v>
      </c>
      <c r="C80" s="106">
        <f>iferror(vlookup('Budget Summary'!$C$2,Lookups!$A:$DP,104,0),0)</f>
        <v>0</v>
      </c>
      <c r="D80" s="96">
        <f>C80*15</f>
        <v>0</v>
      </c>
      <c r="E80" s="96">
        <f t="shared" ref="E80:E81" si="15">D80*11</f>
        <v>0</v>
      </c>
      <c r="F80" s="97">
        <f t="shared" ref="F80:F81" si="16">E80*F19</f>
        <v>0</v>
      </c>
    </row>
    <row r="81">
      <c r="B81" s="94" t="s">
        <v>111</v>
      </c>
      <c r="C81" s="106">
        <f>iferror(vlookup('Budget Summary'!$C$2,Lookups!$A:$DP,105,0),0)</f>
        <v>0</v>
      </c>
      <c r="D81" s="96">
        <f>C81*30</f>
        <v>0</v>
      </c>
      <c r="E81" s="96">
        <f t="shared" si="15"/>
        <v>0</v>
      </c>
      <c r="F81" s="97">
        <f t="shared" si="16"/>
        <v>0</v>
      </c>
    </row>
    <row r="82">
      <c r="B82" s="94"/>
      <c r="C82" s="96"/>
      <c r="D82" s="96"/>
      <c r="E82" s="96"/>
      <c r="F82" s="97"/>
    </row>
    <row r="83">
      <c r="B83" s="94"/>
      <c r="C83" s="96"/>
      <c r="D83" s="92" t="s">
        <v>107</v>
      </c>
      <c r="E83" s="92">
        <f t="shared" ref="E83:F83" si="17">E80+E81</f>
        <v>0</v>
      </c>
      <c r="F83" s="107">
        <f t="shared" si="17"/>
        <v>0</v>
      </c>
    </row>
    <row r="84">
      <c r="B84" s="94"/>
      <c r="C84" s="96"/>
      <c r="D84" s="96"/>
      <c r="E84" s="96"/>
      <c r="F84" s="97"/>
    </row>
    <row r="85">
      <c r="B85" s="98" t="s">
        <v>120</v>
      </c>
      <c r="C85" s="96"/>
      <c r="D85" s="96"/>
      <c r="E85" s="96"/>
      <c r="F85" s="97"/>
    </row>
    <row r="86">
      <c r="B86" s="94"/>
      <c r="C86" s="96"/>
      <c r="D86" s="96"/>
      <c r="E86" s="96"/>
      <c r="F86" s="97"/>
    </row>
    <row r="87">
      <c r="B87" s="94"/>
      <c r="C87" s="96"/>
      <c r="D87" s="96" t="s">
        <v>103</v>
      </c>
      <c r="E87" s="109" t="s">
        <v>118</v>
      </c>
      <c r="F87" s="105" t="s">
        <v>109</v>
      </c>
    </row>
    <row r="88">
      <c r="B88" s="94" t="s">
        <v>111</v>
      </c>
      <c r="C88" s="106">
        <v>0.0</v>
      </c>
      <c r="D88" s="96">
        <f>C88*30</f>
        <v>0</v>
      </c>
      <c r="E88" s="96">
        <f>D88*11</f>
        <v>0</v>
      </c>
      <c r="F88" s="97">
        <f>E88*F21</f>
        <v>0</v>
      </c>
    </row>
    <row r="89">
      <c r="B89" s="94"/>
      <c r="C89" s="96"/>
      <c r="D89" s="96"/>
      <c r="E89" s="96"/>
      <c r="F89" s="97"/>
    </row>
    <row r="90">
      <c r="B90" s="94"/>
      <c r="C90" s="96"/>
      <c r="D90" s="92" t="s">
        <v>107</v>
      </c>
      <c r="E90" s="92">
        <f t="shared" ref="E90:F90" si="18">E88</f>
        <v>0</v>
      </c>
      <c r="F90" s="107">
        <f t="shared" si="18"/>
        <v>0</v>
      </c>
    </row>
    <row r="91">
      <c r="B91" s="94"/>
      <c r="C91" s="96"/>
      <c r="D91" s="96"/>
      <c r="E91" s="96"/>
      <c r="F91" s="97"/>
    </row>
    <row r="92">
      <c r="B92" s="98" t="s">
        <v>121</v>
      </c>
      <c r="C92" s="96"/>
      <c r="D92" s="96"/>
      <c r="E92" s="96"/>
      <c r="F92" s="97"/>
    </row>
    <row r="93">
      <c r="B93" s="94"/>
      <c r="C93" s="96"/>
      <c r="D93" s="96"/>
      <c r="E93" s="96"/>
      <c r="F93" s="97"/>
    </row>
    <row r="94">
      <c r="B94" s="94" t="s">
        <v>122</v>
      </c>
      <c r="C94" s="106">
        <v>0.0</v>
      </c>
      <c r="D94" s="96"/>
      <c r="E94" s="96"/>
      <c r="F94" s="97"/>
    </row>
    <row r="95">
      <c r="B95" s="108" t="s">
        <v>123</v>
      </c>
      <c r="C95" s="96"/>
      <c r="D95" s="96"/>
      <c r="E95" s="96"/>
      <c r="F95" s="97">
        <f>C94*F17</f>
        <v>0</v>
      </c>
    </row>
    <row r="96">
      <c r="B96" s="94"/>
      <c r="C96" s="96"/>
      <c r="D96" s="96"/>
      <c r="E96" s="96"/>
      <c r="F96" s="97"/>
    </row>
    <row r="97">
      <c r="B97" s="98" t="s">
        <v>98</v>
      </c>
      <c r="C97" s="96"/>
      <c r="D97" s="96"/>
      <c r="E97" s="96"/>
      <c r="F97" s="97"/>
    </row>
    <row r="98">
      <c r="B98" s="94"/>
      <c r="C98" s="96"/>
      <c r="D98" s="96"/>
      <c r="E98" s="96"/>
      <c r="F98" s="97"/>
    </row>
    <row r="99">
      <c r="B99" s="108" t="s">
        <v>124</v>
      </c>
      <c r="C99" s="106">
        <f>iferror(vlookup('Budget Summary'!$C$2,Lookups!$A:$DP,106,0),0)</f>
        <v>0</v>
      </c>
      <c r="D99" s="96"/>
      <c r="E99" s="96"/>
      <c r="F99" s="97"/>
    </row>
    <row r="100">
      <c r="B100" s="108" t="s">
        <v>125</v>
      </c>
      <c r="C100" s="106">
        <f>iferror(vlookup('Budget Summary'!$C$2,Lookups!$A:$DP,107,0),0)</f>
        <v>1</v>
      </c>
      <c r="D100" s="96"/>
      <c r="E100" s="96"/>
      <c r="F100" s="97"/>
    </row>
    <row r="101">
      <c r="B101" s="108" t="s">
        <v>126</v>
      </c>
      <c r="C101" s="106">
        <f>iferror(vlookup('Budget Summary'!$C$2,Lookups!$A:$DP,108,0),0)</f>
        <v>0</v>
      </c>
      <c r="D101" s="96"/>
      <c r="E101" s="96"/>
      <c r="F101" s="97"/>
    </row>
    <row r="102">
      <c r="B102" s="94" t="s">
        <v>127</v>
      </c>
      <c r="C102" s="106">
        <f>(C99*15*13)+(C100*15*14)+(C101*15*11)</f>
        <v>210</v>
      </c>
      <c r="D102" s="96"/>
      <c r="E102" s="96"/>
      <c r="F102" s="97"/>
    </row>
    <row r="103">
      <c r="B103" s="108" t="s">
        <v>128</v>
      </c>
      <c r="C103" s="96"/>
      <c r="D103" s="96"/>
      <c r="E103" s="96"/>
      <c r="F103" s="97">
        <f>C102*F18</f>
        <v>241.5</v>
      </c>
    </row>
    <row r="104">
      <c r="B104" s="94"/>
      <c r="C104" s="96"/>
      <c r="D104" s="96"/>
      <c r="E104" s="96"/>
      <c r="F104" s="97"/>
    </row>
    <row r="105">
      <c r="B105" s="94"/>
      <c r="C105" s="96"/>
      <c r="D105" s="96"/>
      <c r="E105" s="96"/>
      <c r="F105" s="97"/>
    </row>
    <row r="106">
      <c r="B106" s="110" t="s">
        <v>282</v>
      </c>
      <c r="C106" s="111"/>
      <c r="D106" s="111"/>
      <c r="E106" s="111"/>
      <c r="F106" s="112">
        <f>F29+F37+F52+F60+F67+F75+F83+F90+F95+F103+F44</f>
        <v>131309.4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FF"/>
    <outlinePr summaryBelow="0" summaryRight="0"/>
    <pageSetUpPr/>
  </sheetPr>
  <sheetViews>
    <sheetView workbookViewId="0">
      <pane xSplit="4.0" ySplit="2.0" topLeftCell="E3" activePane="bottomRight" state="frozen"/>
      <selection activeCell="E1" sqref="E1" pane="topRight"/>
      <selection activeCell="A3" sqref="A3" pane="bottomLeft"/>
      <selection activeCell="E3" sqref="E3" pane="bottomRight"/>
    </sheetView>
  </sheetViews>
  <sheetFormatPr customHeight="1" defaultColWidth="14.43" defaultRowHeight="15.0"/>
  <cols>
    <col customWidth="1" min="1" max="1" width="14.57"/>
    <col customWidth="1" min="2" max="2" width="72.57"/>
    <col customWidth="1" min="3" max="3" width="9.14"/>
    <col customWidth="1" min="4" max="4" width="12.0"/>
    <col customWidth="1" min="5" max="5" width="18.29"/>
    <col customWidth="1" min="6" max="7" width="14.14"/>
    <col customWidth="1" min="8" max="8" width="15.71"/>
    <col customWidth="1" min="9" max="9" width="24.29"/>
    <col customWidth="1" min="10" max="10" width="27.43"/>
    <col customWidth="1" min="11" max="11" width="13.86"/>
    <col customWidth="1" min="12" max="12" width="25.57"/>
    <col customWidth="1" min="13" max="13" width="28.71"/>
    <col customWidth="1" min="14" max="14" width="13.86"/>
    <col customWidth="1" min="15" max="15" width="34.14"/>
    <col customWidth="1" min="16" max="20" width="34.29"/>
    <col customWidth="1" min="21" max="21" width="37.29"/>
    <col customWidth="1" min="22" max="22" width="37.43"/>
    <col customWidth="1" min="23" max="25" width="37.57"/>
    <col customWidth="1" min="26" max="26" width="37.43"/>
    <col customWidth="1" min="27" max="27" width="18.29"/>
    <col customWidth="1" min="28" max="28" width="26.0"/>
    <col customWidth="1" min="29" max="29" width="29.14"/>
    <col customWidth="1" min="30" max="30" width="13.86"/>
    <col customWidth="1" min="31" max="31" width="23.86"/>
    <col customWidth="1" min="32" max="33" width="27.0"/>
    <col customWidth="1" min="34" max="34" width="28.14"/>
    <col customWidth="1" min="35" max="35" width="31.29"/>
    <col customWidth="1" min="36" max="36" width="12.57"/>
    <col customWidth="1" min="37" max="37" width="15.86"/>
    <col customWidth="1" min="38" max="38" width="35.86"/>
    <col customWidth="1" min="39" max="39" width="18.0"/>
    <col customWidth="1" min="40" max="40" width="28.57"/>
    <col customWidth="1" min="41" max="42" width="15.86"/>
    <col customWidth="1" min="43" max="43" width="19.57"/>
    <col customWidth="1" min="44" max="44" width="15.57"/>
    <col customWidth="1" min="45" max="45" width="19.43"/>
    <col customWidth="1" min="46" max="46" width="24.86"/>
    <col customWidth="1" min="47" max="47" width="18.14"/>
    <col customWidth="1" min="48" max="49" width="15.86"/>
    <col customWidth="1" min="50" max="50" width="17.57"/>
    <col customWidth="1" min="51" max="51" width="35.57"/>
    <col customWidth="1" min="52" max="52" width="17.0"/>
    <col customWidth="1" min="53" max="53" width="53.14"/>
    <col customWidth="1" min="54" max="54" width="60.29"/>
    <col customWidth="1" min="55" max="55" width="62.57"/>
    <col customWidth="1" min="56" max="56" width="48.86"/>
    <col customWidth="1" min="57" max="57" width="56.43"/>
    <col customWidth="1" min="58" max="58" width="60.14"/>
    <col customWidth="1" min="59" max="59" width="12.57"/>
    <col customWidth="1" min="60" max="60" width="14.57"/>
    <col customWidth="1" min="61" max="61" width="25.43"/>
    <col customWidth="1" min="62" max="63" width="21.29"/>
    <col customWidth="1" min="64" max="64" width="14.29"/>
    <col customWidth="1" min="65" max="65" width="15.57"/>
    <col customWidth="1" min="66" max="66" width="30.86"/>
    <col customWidth="1" min="67" max="67" width="31.0"/>
    <col customWidth="1" min="68" max="71" width="31.14"/>
    <col customWidth="1" min="72" max="72" width="14.0"/>
    <col customWidth="1" min="73" max="73" width="13.86"/>
    <col customWidth="1" min="74" max="74" width="18.14"/>
    <col customWidth="1" min="75" max="75" width="21.29"/>
    <col customWidth="1" min="76" max="76" width="16.0"/>
    <col customWidth="1" min="77" max="77" width="14.57"/>
    <col customWidth="1" min="78" max="78" width="16.86"/>
    <col customWidth="1" min="79" max="79" width="27.14"/>
    <col customWidth="1" min="80" max="81" width="23.14"/>
    <col customWidth="1" min="82" max="82" width="17.29"/>
    <col customWidth="1" min="83" max="83" width="22.86"/>
    <col customWidth="1" min="84" max="84" width="23.57"/>
    <col customWidth="1" min="85" max="85" width="16.57"/>
    <col customWidth="1" min="86" max="86" width="3.71"/>
    <col customWidth="1" min="87" max="87" width="16.0"/>
    <col customWidth="1" min="88" max="88" width="12.71"/>
    <col customWidth="1" min="89" max="89" width="15.71"/>
    <col customWidth="1" min="90" max="90" width="10.29"/>
    <col customWidth="1" min="91" max="91" width="20.86"/>
    <col customWidth="1" min="92" max="92" width="23.57"/>
    <col customWidth="1" min="93" max="93" width="14.14"/>
    <col customWidth="1" min="94" max="95" width="21.14"/>
    <col customWidth="1" min="96" max="96" width="30.0"/>
    <col customWidth="1" min="97" max="97" width="28.0"/>
    <col customWidth="1" min="98" max="99" width="20.57"/>
    <col customWidth="1" min="100" max="100" width="29.43"/>
    <col customWidth="1" min="101" max="101" width="27.43"/>
    <col customWidth="1" min="102" max="103" width="19.29"/>
    <col customWidth="1" min="104" max="104" width="28.0"/>
    <col customWidth="1" min="105" max="105" width="26.0"/>
    <col customWidth="1" min="106" max="106" width="19.86"/>
    <col customWidth="1" min="107" max="107" width="19.29"/>
    <col customWidth="1" min="108" max="108" width="18.0"/>
    <col customWidth="1" min="109" max="109" width="5.0"/>
    <col customWidth="1" min="110" max="110" width="4.86"/>
    <col customWidth="1" min="111" max="111" width="4.71"/>
    <col customWidth="1" min="112" max="119" width="4.86"/>
    <col customWidth="1" min="120" max="120" width="5.0"/>
  </cols>
  <sheetData>
    <row r="1">
      <c r="A1" s="113">
        <v>1.0</v>
      </c>
      <c r="B1" s="113">
        <v>2.0</v>
      </c>
      <c r="C1" s="113">
        <v>3.0</v>
      </c>
      <c r="D1" s="113">
        <v>4.0</v>
      </c>
      <c r="E1" s="113">
        <v>5.0</v>
      </c>
      <c r="F1" s="113">
        <v>6.0</v>
      </c>
      <c r="G1" s="113">
        <v>7.0</v>
      </c>
      <c r="H1" s="113">
        <v>8.0</v>
      </c>
      <c r="I1" s="113">
        <v>9.0</v>
      </c>
      <c r="J1" s="113">
        <v>10.0</v>
      </c>
      <c r="K1" s="113">
        <v>11.0</v>
      </c>
      <c r="L1" s="113">
        <v>12.0</v>
      </c>
      <c r="M1" s="113">
        <v>13.0</v>
      </c>
      <c r="N1" s="113">
        <v>14.0</v>
      </c>
      <c r="O1" s="113">
        <v>15.0</v>
      </c>
      <c r="P1" s="113">
        <v>16.0</v>
      </c>
      <c r="Q1" s="113">
        <v>17.0</v>
      </c>
      <c r="R1" s="113">
        <v>18.0</v>
      </c>
      <c r="S1" s="113">
        <v>19.0</v>
      </c>
      <c r="T1" s="113">
        <v>20.0</v>
      </c>
      <c r="U1" s="113">
        <v>21.0</v>
      </c>
      <c r="V1" s="113">
        <v>22.0</v>
      </c>
      <c r="W1" s="113">
        <v>23.0</v>
      </c>
      <c r="X1" s="113">
        <v>24.0</v>
      </c>
      <c r="Y1" s="113">
        <v>25.0</v>
      </c>
      <c r="Z1" s="113">
        <v>26.0</v>
      </c>
      <c r="AA1" s="113">
        <v>27.0</v>
      </c>
      <c r="AB1" s="113">
        <v>28.0</v>
      </c>
      <c r="AC1" s="113">
        <v>29.0</v>
      </c>
      <c r="AD1" s="113">
        <v>30.0</v>
      </c>
      <c r="AE1" s="113">
        <v>31.0</v>
      </c>
      <c r="AF1" s="113">
        <v>32.0</v>
      </c>
      <c r="AG1" s="113">
        <v>33.0</v>
      </c>
      <c r="AH1" s="113">
        <v>34.0</v>
      </c>
      <c r="AI1" s="113">
        <v>35.0</v>
      </c>
      <c r="AJ1" s="113">
        <v>36.0</v>
      </c>
      <c r="AK1" s="113">
        <v>37.0</v>
      </c>
      <c r="AL1" s="113">
        <v>38.0</v>
      </c>
      <c r="AM1" s="113">
        <v>39.0</v>
      </c>
      <c r="AN1" s="113">
        <v>40.0</v>
      </c>
      <c r="AO1" s="113">
        <v>41.0</v>
      </c>
      <c r="AP1" s="113">
        <v>42.0</v>
      </c>
      <c r="AQ1" s="113">
        <v>43.0</v>
      </c>
      <c r="AR1" s="113">
        <v>44.0</v>
      </c>
      <c r="AS1" s="113">
        <v>45.0</v>
      </c>
      <c r="AT1" s="113">
        <v>46.0</v>
      </c>
      <c r="AU1" s="113">
        <v>47.0</v>
      </c>
      <c r="AV1" s="113">
        <v>48.0</v>
      </c>
      <c r="AW1" s="113">
        <v>49.0</v>
      </c>
      <c r="AX1" s="113">
        <v>50.0</v>
      </c>
      <c r="AY1" s="113">
        <v>51.0</v>
      </c>
      <c r="AZ1" s="113">
        <v>52.0</v>
      </c>
      <c r="BA1" s="113">
        <v>53.0</v>
      </c>
      <c r="BB1" s="113">
        <v>54.0</v>
      </c>
      <c r="BC1" s="113">
        <v>55.0</v>
      </c>
      <c r="BD1" s="113">
        <v>56.0</v>
      </c>
      <c r="BE1" s="113">
        <v>57.0</v>
      </c>
      <c r="BF1" s="113">
        <v>58.0</v>
      </c>
      <c r="BG1" s="113">
        <v>59.0</v>
      </c>
      <c r="BH1" s="114">
        <v>60.0</v>
      </c>
      <c r="BI1" s="114">
        <v>61.0</v>
      </c>
      <c r="BJ1" s="114">
        <v>62.0</v>
      </c>
      <c r="BK1" s="114">
        <v>63.0</v>
      </c>
      <c r="BL1" s="114">
        <v>64.0</v>
      </c>
      <c r="BM1" s="114">
        <v>65.0</v>
      </c>
      <c r="BN1" s="114">
        <v>66.0</v>
      </c>
      <c r="BO1" s="114">
        <v>67.0</v>
      </c>
      <c r="BP1" s="114">
        <v>68.0</v>
      </c>
      <c r="BQ1" s="114">
        <v>69.0</v>
      </c>
      <c r="BR1" s="114">
        <v>70.0</v>
      </c>
      <c r="BS1" s="114">
        <v>71.0</v>
      </c>
      <c r="BT1" s="114">
        <v>72.0</v>
      </c>
      <c r="BU1" s="114">
        <v>73.0</v>
      </c>
      <c r="BV1" s="114">
        <v>74.0</v>
      </c>
      <c r="BW1" s="114">
        <v>75.0</v>
      </c>
      <c r="BX1" s="114">
        <v>76.0</v>
      </c>
      <c r="BY1" s="114">
        <v>77.0</v>
      </c>
      <c r="BZ1" s="114">
        <v>78.0</v>
      </c>
      <c r="CA1" s="113">
        <v>79.0</v>
      </c>
      <c r="CB1" s="113">
        <v>80.0</v>
      </c>
      <c r="CC1" s="113">
        <v>81.0</v>
      </c>
      <c r="CD1" s="113">
        <v>82.0</v>
      </c>
      <c r="CE1" s="113">
        <v>83.0</v>
      </c>
      <c r="CF1" s="113">
        <v>84.0</v>
      </c>
      <c r="CG1" s="113">
        <v>85.0</v>
      </c>
      <c r="CH1" s="113">
        <v>86.0</v>
      </c>
      <c r="CI1" s="113">
        <v>87.0</v>
      </c>
      <c r="CJ1" s="113">
        <v>88.0</v>
      </c>
      <c r="CK1" s="113">
        <v>89.0</v>
      </c>
      <c r="CL1" s="113">
        <v>90.0</v>
      </c>
      <c r="CM1" s="113">
        <v>91.0</v>
      </c>
      <c r="CN1" s="113">
        <v>92.0</v>
      </c>
      <c r="CO1" s="113">
        <v>93.0</v>
      </c>
      <c r="CP1" s="113">
        <v>94.0</v>
      </c>
      <c r="CQ1" s="113">
        <v>95.0</v>
      </c>
      <c r="CR1" s="113">
        <v>96.0</v>
      </c>
      <c r="CS1" s="113">
        <v>97.0</v>
      </c>
      <c r="CT1" s="113">
        <v>98.0</v>
      </c>
      <c r="CU1" s="113">
        <v>99.0</v>
      </c>
      <c r="CV1" s="113">
        <v>100.0</v>
      </c>
      <c r="CW1" s="113">
        <v>101.0</v>
      </c>
      <c r="CX1" s="113">
        <v>102.0</v>
      </c>
      <c r="CY1" s="113">
        <v>103.0</v>
      </c>
      <c r="CZ1" s="113">
        <v>104.0</v>
      </c>
      <c r="DA1" s="113">
        <v>105.0</v>
      </c>
      <c r="DB1" s="113">
        <v>106.0</v>
      </c>
      <c r="DC1" s="113">
        <v>107.0</v>
      </c>
      <c r="DD1" s="113">
        <v>108.0</v>
      </c>
      <c r="DE1" s="1">
        <v>109.0</v>
      </c>
      <c r="DF1" s="1">
        <v>110.0</v>
      </c>
      <c r="DG1" s="1">
        <v>111.0</v>
      </c>
      <c r="DH1" s="1">
        <v>112.0</v>
      </c>
      <c r="DI1" s="1">
        <v>113.0</v>
      </c>
      <c r="DJ1" s="1">
        <v>114.0</v>
      </c>
      <c r="DK1" s="1">
        <v>115.0</v>
      </c>
      <c r="DL1" s="1">
        <v>116.0</v>
      </c>
      <c r="DM1" s="1">
        <v>117.0</v>
      </c>
      <c r="DN1" s="1">
        <v>118.0</v>
      </c>
      <c r="DO1" s="1">
        <v>119.0</v>
      </c>
      <c r="DP1" s="1">
        <v>120.0</v>
      </c>
    </row>
    <row r="2">
      <c r="A2" s="113" t="s">
        <v>283</v>
      </c>
      <c r="B2" s="113" t="s">
        <v>284</v>
      </c>
      <c r="C2" s="113" t="s">
        <v>285</v>
      </c>
      <c r="D2" s="113" t="s">
        <v>286</v>
      </c>
      <c r="E2" s="113" t="s">
        <v>287</v>
      </c>
      <c r="F2" s="113" t="s">
        <v>288</v>
      </c>
      <c r="G2" s="113" t="s">
        <v>289</v>
      </c>
      <c r="H2" s="113" t="s">
        <v>290</v>
      </c>
      <c r="I2" s="113" t="s">
        <v>291</v>
      </c>
      <c r="J2" s="113" t="s">
        <v>292</v>
      </c>
      <c r="K2" s="113" t="s">
        <v>293</v>
      </c>
      <c r="L2" s="113" t="s">
        <v>294</v>
      </c>
      <c r="M2" s="113" t="s">
        <v>295</v>
      </c>
      <c r="N2" s="113" t="s">
        <v>296</v>
      </c>
      <c r="O2" s="113" t="s">
        <v>297</v>
      </c>
      <c r="P2" s="113" t="s">
        <v>298</v>
      </c>
      <c r="Q2" s="113" t="s">
        <v>299</v>
      </c>
      <c r="R2" s="113" t="s">
        <v>300</v>
      </c>
      <c r="S2" s="113" t="s">
        <v>301</v>
      </c>
      <c r="T2" s="113" t="s">
        <v>302</v>
      </c>
      <c r="U2" s="113" t="s">
        <v>303</v>
      </c>
      <c r="V2" s="113" t="s">
        <v>304</v>
      </c>
      <c r="W2" s="113" t="s">
        <v>305</v>
      </c>
      <c r="X2" s="113" t="s">
        <v>306</v>
      </c>
      <c r="Y2" s="113" t="s">
        <v>307</v>
      </c>
      <c r="Z2" s="113" t="s">
        <v>308</v>
      </c>
      <c r="AA2" s="113" t="s">
        <v>309</v>
      </c>
      <c r="AB2" s="113" t="s">
        <v>310</v>
      </c>
      <c r="AC2" s="113" t="s">
        <v>311</v>
      </c>
      <c r="AD2" s="113" t="s">
        <v>312</v>
      </c>
      <c r="AE2" s="113" t="s">
        <v>313</v>
      </c>
      <c r="AF2" s="113" t="s">
        <v>314</v>
      </c>
      <c r="AG2" s="113" t="s">
        <v>30</v>
      </c>
      <c r="AH2" s="113" t="s">
        <v>315</v>
      </c>
      <c r="AI2" s="113" t="s">
        <v>316</v>
      </c>
      <c r="AJ2" s="113" t="s">
        <v>31</v>
      </c>
      <c r="AK2" s="113" t="s">
        <v>32</v>
      </c>
      <c r="AL2" s="113" t="s">
        <v>33</v>
      </c>
      <c r="AM2" s="115" t="s">
        <v>317</v>
      </c>
      <c r="AN2" s="115" t="s">
        <v>318</v>
      </c>
      <c r="AO2" s="115" t="s">
        <v>319</v>
      </c>
      <c r="AP2" s="115" t="s">
        <v>320</v>
      </c>
      <c r="AQ2" s="115" t="s">
        <v>321</v>
      </c>
      <c r="AR2" s="115" t="s">
        <v>322</v>
      </c>
      <c r="AS2" s="115" t="s">
        <v>323</v>
      </c>
      <c r="AT2" s="115" t="s">
        <v>324</v>
      </c>
      <c r="AU2" s="115" t="s">
        <v>325</v>
      </c>
      <c r="AV2" s="115" t="s">
        <v>326</v>
      </c>
      <c r="AW2" s="115" t="s">
        <v>320</v>
      </c>
      <c r="AX2" s="115" t="s">
        <v>72</v>
      </c>
      <c r="AY2" s="113" t="s">
        <v>252</v>
      </c>
      <c r="AZ2" s="113" t="s">
        <v>327</v>
      </c>
      <c r="BA2" s="113" t="s">
        <v>328</v>
      </c>
      <c r="BB2" s="113" t="s">
        <v>329</v>
      </c>
      <c r="BC2" s="113" t="s">
        <v>330</v>
      </c>
      <c r="BD2" s="113" t="s">
        <v>331</v>
      </c>
      <c r="BE2" s="113" t="s">
        <v>332</v>
      </c>
      <c r="BF2" s="113" t="s">
        <v>333</v>
      </c>
      <c r="BG2" s="113" t="s">
        <v>107</v>
      </c>
      <c r="BH2" s="114" t="s">
        <v>334</v>
      </c>
      <c r="BI2" s="114" t="s">
        <v>335</v>
      </c>
      <c r="BJ2" s="114" t="s">
        <v>336</v>
      </c>
      <c r="BK2" s="114" t="s">
        <v>337</v>
      </c>
      <c r="BL2" s="114" t="s">
        <v>338</v>
      </c>
      <c r="BM2" s="114" t="s">
        <v>339</v>
      </c>
      <c r="BN2" s="114" t="s">
        <v>340</v>
      </c>
      <c r="BO2" s="114" t="s">
        <v>341</v>
      </c>
      <c r="BP2" s="114" t="s">
        <v>342</v>
      </c>
      <c r="BQ2" s="114" t="s">
        <v>343</v>
      </c>
      <c r="BR2" s="114" t="s">
        <v>344</v>
      </c>
      <c r="BS2" s="114" t="s">
        <v>345</v>
      </c>
      <c r="BT2" s="114" t="s">
        <v>346</v>
      </c>
      <c r="BU2" s="114" t="s">
        <v>347</v>
      </c>
      <c r="BV2" s="114" t="s">
        <v>348</v>
      </c>
      <c r="BW2" s="114" t="s">
        <v>349</v>
      </c>
      <c r="BX2" s="114" t="s">
        <v>350</v>
      </c>
      <c r="BY2" s="114" t="s">
        <v>351</v>
      </c>
      <c r="BZ2" s="114" t="s">
        <v>352</v>
      </c>
      <c r="CA2" s="115" t="s">
        <v>353</v>
      </c>
      <c r="CB2" s="115" t="s">
        <v>354</v>
      </c>
      <c r="CC2" s="115" t="s">
        <v>355</v>
      </c>
      <c r="CD2" s="115" t="s">
        <v>356</v>
      </c>
      <c r="CE2" s="115" t="s">
        <v>357</v>
      </c>
      <c r="CF2" s="113" t="s">
        <v>358</v>
      </c>
      <c r="CG2" s="115" t="s">
        <v>359</v>
      </c>
      <c r="CH2" s="113"/>
      <c r="CI2" s="113" t="s">
        <v>360</v>
      </c>
      <c r="CJ2" s="113" t="s">
        <v>361</v>
      </c>
      <c r="CK2" s="113" t="s">
        <v>92</v>
      </c>
      <c r="CL2" s="113" t="s">
        <v>93</v>
      </c>
      <c r="CM2" s="113" t="s">
        <v>94</v>
      </c>
      <c r="CN2" s="113" t="s">
        <v>95</v>
      </c>
      <c r="CO2" s="113" t="s">
        <v>362</v>
      </c>
      <c r="CP2" s="113" t="s">
        <v>363</v>
      </c>
      <c r="CQ2" s="113" t="s">
        <v>364</v>
      </c>
      <c r="CR2" s="113" t="s">
        <v>365</v>
      </c>
      <c r="CS2" s="115" t="s">
        <v>366</v>
      </c>
      <c r="CT2" s="113" t="s">
        <v>367</v>
      </c>
      <c r="CU2" s="113" t="s">
        <v>368</v>
      </c>
      <c r="CV2" s="113" t="s">
        <v>369</v>
      </c>
      <c r="CW2" s="113" t="s">
        <v>370</v>
      </c>
      <c r="CX2" s="113" t="s">
        <v>371</v>
      </c>
      <c r="CY2" s="113" t="s">
        <v>372</v>
      </c>
      <c r="CZ2" s="113" t="s">
        <v>373</v>
      </c>
      <c r="DA2" s="113" t="s">
        <v>374</v>
      </c>
      <c r="DB2" s="113" t="s">
        <v>375</v>
      </c>
      <c r="DC2" s="113" t="s">
        <v>376</v>
      </c>
      <c r="DD2" s="113" t="s">
        <v>377</v>
      </c>
      <c r="DE2" s="1"/>
      <c r="DF2" s="1"/>
      <c r="DG2" s="1"/>
      <c r="DH2" s="1"/>
      <c r="DI2" s="1"/>
      <c r="DJ2" s="1"/>
      <c r="DK2" s="1"/>
      <c r="DL2" s="1"/>
      <c r="DM2" s="1"/>
      <c r="DN2" s="1"/>
      <c r="DO2" s="1"/>
      <c r="DP2" s="1"/>
    </row>
    <row r="3">
      <c r="A3" s="115">
        <v>2042048.0</v>
      </c>
      <c r="B3" s="115" t="s">
        <v>378</v>
      </c>
      <c r="C3" s="115" t="s">
        <v>379</v>
      </c>
      <c r="D3" s="115" t="s">
        <v>17</v>
      </c>
      <c r="E3" s="115">
        <v>371.0</v>
      </c>
      <c r="F3" s="115">
        <v>0.0</v>
      </c>
      <c r="G3" s="115">
        <v>0.0</v>
      </c>
      <c r="H3" s="116">
        <v>1896982.36</v>
      </c>
      <c r="I3" s="115">
        <v>214.0</v>
      </c>
      <c r="J3" s="115">
        <v>0.0</v>
      </c>
      <c r="K3" s="116">
        <v>127790.1</v>
      </c>
      <c r="L3" s="115">
        <v>216.0</v>
      </c>
      <c r="M3" s="115">
        <v>0.0</v>
      </c>
      <c r="N3" s="116">
        <v>309052.8</v>
      </c>
      <c r="O3" s="115">
        <v>12.0</v>
      </c>
      <c r="P3" s="115">
        <v>15.0</v>
      </c>
      <c r="Q3" s="115">
        <v>7.0</v>
      </c>
      <c r="R3" s="115">
        <v>150.0</v>
      </c>
      <c r="S3" s="115">
        <v>179.0</v>
      </c>
      <c r="T3" s="115">
        <v>4.0</v>
      </c>
      <c r="U3" s="115">
        <v>0.0</v>
      </c>
      <c r="V3" s="115">
        <v>0.0</v>
      </c>
      <c r="W3" s="115">
        <v>0.0</v>
      </c>
      <c r="X3" s="115">
        <v>0.0</v>
      </c>
      <c r="Y3" s="115">
        <v>0.0</v>
      </c>
      <c r="Z3" s="115">
        <v>0.0</v>
      </c>
      <c r="AA3" s="116">
        <v>216493.66</v>
      </c>
      <c r="AB3" s="115">
        <v>51.40361446</v>
      </c>
      <c r="AC3" s="115">
        <v>0.0</v>
      </c>
      <c r="AD3" s="116">
        <v>37077.94</v>
      </c>
      <c r="AE3" s="115">
        <v>160.6136905</v>
      </c>
      <c r="AF3" s="115">
        <v>0.0</v>
      </c>
      <c r="AG3" s="116">
        <v>227907.61</v>
      </c>
      <c r="AH3" s="115">
        <v>10.74</v>
      </c>
      <c r="AI3" s="115">
        <v>0.0</v>
      </c>
      <c r="AJ3" s="116">
        <v>12509.31</v>
      </c>
      <c r="AK3" s="116">
        <v>180564.7</v>
      </c>
      <c r="AL3" s="116">
        <v>44997.0</v>
      </c>
      <c r="AM3" s="116">
        <v>2993916.24</v>
      </c>
      <c r="AN3" s="116">
        <v>94117.23</v>
      </c>
      <c r="AO3" s="116">
        <v>44997.0</v>
      </c>
      <c r="AP3" s="116">
        <v>180564.7</v>
      </c>
      <c r="AQ3" s="116">
        <v>2862471.77</v>
      </c>
      <c r="AR3" s="116">
        <v>381.0</v>
      </c>
      <c r="AS3" s="116">
        <v>7513.049265</v>
      </c>
      <c r="AT3" s="116">
        <v>7513.049265</v>
      </c>
      <c r="AU3" s="116">
        <v>2787341.277</v>
      </c>
      <c r="AV3" s="116">
        <v>44997.0</v>
      </c>
      <c r="AW3" s="116">
        <v>180564.7</v>
      </c>
      <c r="AX3" s="116">
        <v>3012902.98</v>
      </c>
      <c r="AY3" s="116">
        <v>0.0</v>
      </c>
      <c r="AZ3" s="116">
        <v>3053375.48</v>
      </c>
      <c r="BA3" s="116">
        <v>4459.42</v>
      </c>
      <c r="BB3" s="117">
        <v>4420.71</v>
      </c>
      <c r="BC3" s="116">
        <v>1253.98</v>
      </c>
      <c r="BD3" s="116">
        <v>1120.42</v>
      </c>
      <c r="BE3" s="116">
        <v>3264.8</v>
      </c>
      <c r="BF3" s="116">
        <v>9683.1</v>
      </c>
      <c r="BG3" s="116">
        <v>24202.43</v>
      </c>
      <c r="BH3" s="118">
        <v>381.0</v>
      </c>
      <c r="BI3" s="118">
        <v>1915565.13</v>
      </c>
      <c r="BJ3" s="118">
        <v>0.0</v>
      </c>
      <c r="BK3" s="118">
        <v>0.0</v>
      </c>
      <c r="BL3" s="118">
        <v>114326.55</v>
      </c>
      <c r="BM3" s="118">
        <v>246076.04</v>
      </c>
      <c r="BN3" s="118">
        <v>4731.78</v>
      </c>
      <c r="BO3" s="118">
        <v>5063.4</v>
      </c>
      <c r="BP3" s="118">
        <v>8433.12</v>
      </c>
      <c r="BQ3" s="118">
        <v>87055.5</v>
      </c>
      <c r="BR3" s="118">
        <v>106550.7</v>
      </c>
      <c r="BS3" s="118">
        <v>3245.32</v>
      </c>
      <c r="BT3" s="118">
        <v>51259.5</v>
      </c>
      <c r="BU3" s="118">
        <v>207864.79</v>
      </c>
      <c r="BV3" s="118">
        <v>0.0</v>
      </c>
      <c r="BW3" s="118">
        <v>171859.34</v>
      </c>
      <c r="BX3" s="118">
        <v>44997.0</v>
      </c>
      <c r="BY3" s="118">
        <v>26888.08</v>
      </c>
      <c r="BZ3" s="118">
        <v>2993916.25</v>
      </c>
      <c r="CA3" s="118">
        <v>51892.2</v>
      </c>
      <c r="CB3" s="118">
        <v>0.0</v>
      </c>
      <c r="CC3" s="118">
        <v>0.0</v>
      </c>
      <c r="CD3" s="118">
        <v>25534.88</v>
      </c>
      <c r="CE3" s="118">
        <v>4500.78</v>
      </c>
      <c r="CF3" s="117">
        <v>0.0</v>
      </c>
      <c r="CG3" s="119">
        <v>81927.86</v>
      </c>
      <c r="CH3" s="119"/>
      <c r="CI3" s="119">
        <v>9650.0</v>
      </c>
      <c r="CJ3" s="119">
        <v>0.0</v>
      </c>
      <c r="CK3" s="116">
        <v>7.28</v>
      </c>
      <c r="CL3" s="116">
        <v>0.25</v>
      </c>
      <c r="CM3" s="116">
        <v>0.74</v>
      </c>
      <c r="CN3" s="116">
        <v>0.68</v>
      </c>
      <c r="CO3" s="116">
        <v>8.95</v>
      </c>
      <c r="CP3" s="120">
        <v>35.0</v>
      </c>
      <c r="CQ3" s="120">
        <v>12.0</v>
      </c>
      <c r="CR3" s="120">
        <v>0.0</v>
      </c>
      <c r="CS3" s="120">
        <v>1.0</v>
      </c>
      <c r="CT3" s="120">
        <v>21.0</v>
      </c>
      <c r="CU3" s="120">
        <v>3.0</v>
      </c>
      <c r="CV3" s="120">
        <v>0.0</v>
      </c>
      <c r="CW3" s="120">
        <v>1.0</v>
      </c>
      <c r="CX3" s="120">
        <v>31.0</v>
      </c>
      <c r="CY3" s="120">
        <v>12.0</v>
      </c>
      <c r="CZ3" s="120">
        <v>0.0</v>
      </c>
      <c r="DA3" s="120">
        <v>1.0</v>
      </c>
      <c r="DB3" s="120">
        <v>47.0</v>
      </c>
      <c r="DC3" s="120">
        <v>9.0</v>
      </c>
      <c r="DD3" s="120">
        <v>15.0</v>
      </c>
      <c r="DE3" s="121"/>
      <c r="DF3" s="122"/>
      <c r="DG3" s="122"/>
      <c r="DH3" s="122"/>
      <c r="DI3" s="122"/>
      <c r="DJ3" s="122"/>
      <c r="DK3" s="122"/>
      <c r="DL3" s="122"/>
      <c r="DM3" s="122"/>
      <c r="DN3" s="122"/>
      <c r="DO3" s="122"/>
      <c r="DP3" s="122"/>
    </row>
    <row r="4">
      <c r="A4" s="115">
        <v>2042150.0</v>
      </c>
      <c r="B4" s="115" t="s">
        <v>380</v>
      </c>
      <c r="C4" s="115" t="s">
        <v>379</v>
      </c>
      <c r="D4" s="115" t="s">
        <v>17</v>
      </c>
      <c r="E4" s="115">
        <v>345.0</v>
      </c>
      <c r="F4" s="115">
        <v>0.0</v>
      </c>
      <c r="G4" s="115">
        <v>0.0</v>
      </c>
      <c r="H4" s="116">
        <v>1764040.2</v>
      </c>
      <c r="I4" s="115">
        <v>176.0</v>
      </c>
      <c r="J4" s="115">
        <v>0.0</v>
      </c>
      <c r="K4" s="116">
        <v>105098.4</v>
      </c>
      <c r="L4" s="115">
        <v>177.0</v>
      </c>
      <c r="M4" s="115">
        <v>0.0</v>
      </c>
      <c r="N4" s="116">
        <v>253251.6</v>
      </c>
      <c r="O4" s="115">
        <v>34.0</v>
      </c>
      <c r="P4" s="115">
        <v>135.0</v>
      </c>
      <c r="Q4" s="115">
        <v>19.0</v>
      </c>
      <c r="R4" s="115">
        <v>59.0</v>
      </c>
      <c r="S4" s="115">
        <v>58.0</v>
      </c>
      <c r="T4" s="115">
        <v>31.0</v>
      </c>
      <c r="U4" s="115">
        <v>0.0</v>
      </c>
      <c r="V4" s="115">
        <v>0.0</v>
      </c>
      <c r="W4" s="115">
        <v>0.0</v>
      </c>
      <c r="X4" s="115">
        <v>0.0</v>
      </c>
      <c r="Y4" s="115">
        <v>0.0</v>
      </c>
      <c r="Z4" s="115">
        <v>0.0</v>
      </c>
      <c r="AA4" s="116">
        <v>163058.25</v>
      </c>
      <c r="AB4" s="115">
        <v>83.67109635</v>
      </c>
      <c r="AC4" s="115">
        <v>0.0</v>
      </c>
      <c r="AD4" s="116">
        <v>60352.8</v>
      </c>
      <c r="AE4" s="115">
        <v>72.59523275</v>
      </c>
      <c r="AF4" s="115">
        <v>0.0</v>
      </c>
      <c r="AG4" s="116">
        <v>103011.18</v>
      </c>
      <c r="AH4" s="115">
        <v>16.3</v>
      </c>
      <c r="AI4" s="115">
        <v>0.0</v>
      </c>
      <c r="AJ4" s="116">
        <v>18985.26</v>
      </c>
      <c r="AK4" s="116">
        <v>180564.7</v>
      </c>
      <c r="AL4" s="116">
        <v>70184.0</v>
      </c>
      <c r="AM4" s="116">
        <v>2543743.5</v>
      </c>
      <c r="AN4" s="116">
        <v>81490.17</v>
      </c>
      <c r="AO4" s="116">
        <v>70184.0</v>
      </c>
      <c r="AP4" s="116">
        <v>180564.7</v>
      </c>
      <c r="AQ4" s="116">
        <v>2374484.97</v>
      </c>
      <c r="AR4" s="116">
        <v>340.0</v>
      </c>
      <c r="AS4" s="116">
        <v>6983.779324</v>
      </c>
      <c r="AT4" s="116">
        <v>6983.779324</v>
      </c>
      <c r="AU4" s="116">
        <v>2409403.867</v>
      </c>
      <c r="AV4" s="116">
        <v>70184.0</v>
      </c>
      <c r="AW4" s="116">
        <v>180564.7</v>
      </c>
      <c r="AX4" s="116">
        <v>2660152.57</v>
      </c>
      <c r="AY4" s="116">
        <v>0.0</v>
      </c>
      <c r="AZ4" s="116">
        <v>2718546.39</v>
      </c>
      <c r="BA4" s="116">
        <v>4146.9</v>
      </c>
      <c r="BB4" s="117">
        <v>7195.71</v>
      </c>
      <c r="BC4" s="116">
        <v>1166.1</v>
      </c>
      <c r="BD4" s="116">
        <v>1041.9</v>
      </c>
      <c r="BE4" s="116">
        <v>3036.0</v>
      </c>
      <c r="BF4" s="116">
        <v>9004.5</v>
      </c>
      <c r="BG4" s="116">
        <v>25591.11</v>
      </c>
      <c r="BH4" s="118">
        <v>340.0</v>
      </c>
      <c r="BI4" s="118">
        <v>1709428.2</v>
      </c>
      <c r="BJ4" s="118">
        <v>0.0</v>
      </c>
      <c r="BK4" s="118">
        <v>0.0</v>
      </c>
      <c r="BL4" s="118">
        <v>89116.08</v>
      </c>
      <c r="BM4" s="118">
        <v>193345.46</v>
      </c>
      <c r="BN4" s="118">
        <v>9463.56</v>
      </c>
      <c r="BO4" s="118">
        <v>45233.04</v>
      </c>
      <c r="BP4" s="118">
        <v>9487.26</v>
      </c>
      <c r="BQ4" s="118">
        <v>36563.31</v>
      </c>
      <c r="BR4" s="118">
        <v>31410.9</v>
      </c>
      <c r="BS4" s="118">
        <v>25151.23</v>
      </c>
      <c r="BT4" s="118">
        <v>52232.93</v>
      </c>
      <c r="BU4" s="118">
        <v>100268.75</v>
      </c>
      <c r="BV4" s="118">
        <v>0.0</v>
      </c>
      <c r="BW4" s="118">
        <v>171859.34</v>
      </c>
      <c r="BX4" s="118">
        <v>70184.0</v>
      </c>
      <c r="BY4" s="118">
        <v>0.0</v>
      </c>
      <c r="BZ4" s="118">
        <v>2543744.06</v>
      </c>
      <c r="CA4" s="118">
        <v>46308.0</v>
      </c>
      <c r="CB4" s="118">
        <v>0.0</v>
      </c>
      <c r="CC4" s="118">
        <v>0.0</v>
      </c>
      <c r="CD4" s="118">
        <v>20063.12</v>
      </c>
      <c r="CE4" s="118">
        <v>4500.78</v>
      </c>
      <c r="CF4" s="117">
        <v>0.0</v>
      </c>
      <c r="CG4" s="119">
        <v>70871.9</v>
      </c>
      <c r="CH4" s="119"/>
      <c r="CI4" s="119">
        <v>9405.0</v>
      </c>
      <c r="CJ4" s="119">
        <v>0.0</v>
      </c>
      <c r="CK4" s="116">
        <v>7.28</v>
      </c>
      <c r="CL4" s="116">
        <v>0.21</v>
      </c>
      <c r="CM4" s="116">
        <v>0.66</v>
      </c>
      <c r="CN4" s="116">
        <v>0.68</v>
      </c>
      <c r="CO4" s="116">
        <v>8.83</v>
      </c>
      <c r="CP4" s="120">
        <v>21.0</v>
      </c>
      <c r="CQ4" s="120">
        <v>9.0</v>
      </c>
      <c r="CR4" s="120">
        <v>6.0</v>
      </c>
      <c r="CS4" s="120">
        <v>2.0</v>
      </c>
      <c r="CT4" s="120">
        <v>16.0</v>
      </c>
      <c r="CU4" s="120">
        <v>5.0</v>
      </c>
      <c r="CV4" s="120">
        <v>6.0</v>
      </c>
      <c r="CW4" s="120">
        <v>2.0</v>
      </c>
      <c r="CX4" s="120">
        <v>17.0</v>
      </c>
      <c r="CY4" s="120">
        <v>8.0</v>
      </c>
      <c r="CZ4" s="120">
        <v>6.0</v>
      </c>
      <c r="DA4" s="120">
        <v>2.0</v>
      </c>
      <c r="DB4" s="120">
        <v>16.0</v>
      </c>
      <c r="DC4" s="120">
        <v>8.0</v>
      </c>
      <c r="DD4" s="120">
        <v>15.0</v>
      </c>
      <c r="DE4" s="121"/>
      <c r="DF4" s="122"/>
      <c r="DG4" s="122"/>
      <c r="DH4" s="122"/>
      <c r="DI4" s="122"/>
      <c r="DJ4" s="122"/>
      <c r="DK4" s="122"/>
      <c r="DL4" s="122"/>
      <c r="DM4" s="122"/>
      <c r="DN4" s="122"/>
      <c r="DO4" s="122"/>
      <c r="DP4" s="122"/>
    </row>
    <row r="5">
      <c r="A5" s="115">
        <v>2042238.0</v>
      </c>
      <c r="B5" s="115" t="s">
        <v>381</v>
      </c>
      <c r="C5" s="115" t="s">
        <v>379</v>
      </c>
      <c r="D5" s="115" t="s">
        <v>17</v>
      </c>
      <c r="E5" s="115">
        <v>204.0</v>
      </c>
      <c r="F5" s="115">
        <v>0.0</v>
      </c>
      <c r="G5" s="115">
        <v>0.0</v>
      </c>
      <c r="H5" s="116">
        <v>1043084.64</v>
      </c>
      <c r="I5" s="115">
        <v>126.0</v>
      </c>
      <c r="J5" s="115">
        <v>0.0</v>
      </c>
      <c r="K5" s="116">
        <v>75240.9</v>
      </c>
      <c r="L5" s="115">
        <v>128.0</v>
      </c>
      <c r="M5" s="115">
        <v>0.0</v>
      </c>
      <c r="N5" s="116">
        <v>183142.4</v>
      </c>
      <c r="O5" s="115">
        <v>5.0</v>
      </c>
      <c r="P5" s="115">
        <v>12.0</v>
      </c>
      <c r="Q5" s="115">
        <v>21.0</v>
      </c>
      <c r="R5" s="115">
        <v>72.0</v>
      </c>
      <c r="S5" s="115">
        <v>72.0</v>
      </c>
      <c r="T5" s="115">
        <v>12.0</v>
      </c>
      <c r="U5" s="115">
        <v>0.0</v>
      </c>
      <c r="V5" s="115">
        <v>0.0</v>
      </c>
      <c r="W5" s="115">
        <v>0.0</v>
      </c>
      <c r="X5" s="115">
        <v>0.0</v>
      </c>
      <c r="Y5" s="115">
        <v>0.0</v>
      </c>
      <c r="Z5" s="115">
        <v>0.0</v>
      </c>
      <c r="AA5" s="116">
        <v>114457.95</v>
      </c>
      <c r="AB5" s="115">
        <v>44.29714286</v>
      </c>
      <c r="AC5" s="115">
        <v>0.0</v>
      </c>
      <c r="AD5" s="116">
        <v>31951.97</v>
      </c>
      <c r="AE5" s="115">
        <v>92.46899195</v>
      </c>
      <c r="AF5" s="115">
        <v>0.0</v>
      </c>
      <c r="AG5" s="116">
        <v>131211.65</v>
      </c>
      <c r="AH5" s="115">
        <v>22.76</v>
      </c>
      <c r="AI5" s="115">
        <v>0.0</v>
      </c>
      <c r="AJ5" s="116">
        <v>26509.48</v>
      </c>
      <c r="AK5" s="116">
        <v>180564.7</v>
      </c>
      <c r="AL5" s="116">
        <v>40677.0</v>
      </c>
      <c r="AM5" s="116">
        <v>1571068.93</v>
      </c>
      <c r="AN5" s="116">
        <v>50128.03</v>
      </c>
      <c r="AO5" s="116">
        <v>40677.0</v>
      </c>
      <c r="AP5" s="116">
        <v>180564.7</v>
      </c>
      <c r="AQ5" s="116">
        <v>1399955.26</v>
      </c>
      <c r="AR5" s="116">
        <v>181.0</v>
      </c>
      <c r="AS5" s="116">
        <v>7734.559448</v>
      </c>
      <c r="AT5" s="116">
        <v>7734.559448</v>
      </c>
      <c r="AU5" s="116">
        <v>1577850.127</v>
      </c>
      <c r="AV5" s="116">
        <v>40677.0</v>
      </c>
      <c r="AW5" s="116">
        <v>180564.7</v>
      </c>
      <c r="AX5" s="116">
        <v>1799091.83</v>
      </c>
      <c r="AY5" s="116">
        <v>0.0</v>
      </c>
      <c r="AZ5" s="116">
        <v>1826840.69</v>
      </c>
      <c r="BA5" s="116">
        <v>2452.08</v>
      </c>
      <c r="BB5" s="117">
        <v>3809.55</v>
      </c>
      <c r="BC5" s="116">
        <v>689.52</v>
      </c>
      <c r="BD5" s="116">
        <v>616.08</v>
      </c>
      <c r="BE5" s="116">
        <v>1795.2</v>
      </c>
      <c r="BF5" s="116">
        <v>5324.4</v>
      </c>
      <c r="BG5" s="116">
        <v>14686.83</v>
      </c>
      <c r="BH5" s="118">
        <v>181.0</v>
      </c>
      <c r="BI5" s="118">
        <v>910019.1299999999</v>
      </c>
      <c r="BJ5" s="118">
        <v>0.0</v>
      </c>
      <c r="BK5" s="118">
        <v>0.0</v>
      </c>
      <c r="BL5" s="118">
        <v>64491.9</v>
      </c>
      <c r="BM5" s="118">
        <v>139359.39</v>
      </c>
      <c r="BN5" s="118">
        <v>1391.7</v>
      </c>
      <c r="BO5" s="118">
        <v>3375.6</v>
      </c>
      <c r="BP5" s="118">
        <v>7906.05</v>
      </c>
      <c r="BQ5" s="118">
        <v>38304.42</v>
      </c>
      <c r="BR5" s="118">
        <v>43728.9</v>
      </c>
      <c r="BS5" s="118">
        <v>4867.98</v>
      </c>
      <c r="BT5" s="118">
        <v>26187.02</v>
      </c>
      <c r="BU5" s="118">
        <v>108454.21</v>
      </c>
      <c r="BV5" s="118">
        <v>10446.75</v>
      </c>
      <c r="BW5" s="118">
        <v>171859.34</v>
      </c>
      <c r="BX5" s="118">
        <v>40677.0</v>
      </c>
      <c r="BY5" s="118">
        <v>0.0</v>
      </c>
      <c r="BZ5" s="118">
        <v>1571069.39</v>
      </c>
      <c r="CA5" s="118">
        <v>24652.199999999997</v>
      </c>
      <c r="CB5" s="118">
        <v>0.0</v>
      </c>
      <c r="CC5" s="118">
        <v>0.0</v>
      </c>
      <c r="CD5" s="118">
        <v>14461.079999999998</v>
      </c>
      <c r="CE5" s="118">
        <v>4500.78</v>
      </c>
      <c r="CF5" s="117">
        <v>14.0</v>
      </c>
      <c r="CG5" s="119">
        <v>43614.06</v>
      </c>
      <c r="CH5" s="119"/>
      <c r="CI5" s="119">
        <v>8785.0</v>
      </c>
      <c r="CJ5" s="119">
        <v>15080.0</v>
      </c>
      <c r="CK5" s="116">
        <v>7.28</v>
      </c>
      <c r="CL5" s="116">
        <v>0.23</v>
      </c>
      <c r="CM5" s="116">
        <v>1.07</v>
      </c>
      <c r="CN5" s="116">
        <v>0.68</v>
      </c>
      <c r="CO5" s="116">
        <v>9.26</v>
      </c>
      <c r="CP5" s="120">
        <v>57.0</v>
      </c>
      <c r="CQ5" s="120">
        <v>21.0</v>
      </c>
      <c r="CR5" s="120">
        <v>15.0</v>
      </c>
      <c r="CS5" s="120">
        <v>10.0</v>
      </c>
      <c r="CT5" s="120">
        <v>42.0</v>
      </c>
      <c r="CU5" s="120">
        <v>6.0</v>
      </c>
      <c r="CV5" s="120">
        <v>15.0</v>
      </c>
      <c r="CW5" s="120">
        <v>10.0</v>
      </c>
      <c r="CX5" s="120">
        <v>46.0</v>
      </c>
      <c r="CY5" s="120">
        <v>21.0</v>
      </c>
      <c r="CZ5" s="120">
        <v>15.0</v>
      </c>
      <c r="DA5" s="120">
        <v>10.0</v>
      </c>
      <c r="DB5" s="120">
        <v>13.0</v>
      </c>
      <c r="DC5" s="120">
        <v>26.0</v>
      </c>
      <c r="DD5" s="120">
        <v>10.0</v>
      </c>
      <c r="DE5" s="121"/>
      <c r="DF5" s="122"/>
      <c r="DG5" s="122"/>
      <c r="DH5" s="122"/>
      <c r="DI5" s="122"/>
      <c r="DJ5" s="122"/>
      <c r="DK5" s="122"/>
      <c r="DL5" s="122"/>
      <c r="DM5" s="122"/>
      <c r="DN5" s="122"/>
      <c r="DO5" s="122"/>
      <c r="DP5" s="122"/>
    </row>
    <row r="6">
      <c r="A6" s="115">
        <v>2042376.0</v>
      </c>
      <c r="B6" s="115" t="s">
        <v>382</v>
      </c>
      <c r="C6" s="115" t="s">
        <v>379</v>
      </c>
      <c r="D6" s="115" t="s">
        <v>17</v>
      </c>
      <c r="E6" s="115">
        <v>399.0</v>
      </c>
      <c r="F6" s="115">
        <v>0.0</v>
      </c>
      <c r="G6" s="115">
        <v>0.0</v>
      </c>
      <c r="H6" s="116">
        <v>2040150.84</v>
      </c>
      <c r="I6" s="115">
        <v>100.0</v>
      </c>
      <c r="J6" s="115">
        <v>0.0</v>
      </c>
      <c r="K6" s="116">
        <v>59715.0</v>
      </c>
      <c r="L6" s="115">
        <v>100.0</v>
      </c>
      <c r="M6" s="115">
        <v>0.0</v>
      </c>
      <c r="N6" s="116">
        <v>143080.0</v>
      </c>
      <c r="O6" s="115">
        <v>175.0</v>
      </c>
      <c r="P6" s="115">
        <v>67.0</v>
      </c>
      <c r="Q6" s="115">
        <v>18.0</v>
      </c>
      <c r="R6" s="115">
        <v>49.0</v>
      </c>
      <c r="S6" s="115">
        <v>40.0</v>
      </c>
      <c r="T6" s="115">
        <v>0.0</v>
      </c>
      <c r="U6" s="115">
        <v>0.0</v>
      </c>
      <c r="V6" s="115">
        <v>0.0</v>
      </c>
      <c r="W6" s="115">
        <v>0.0</v>
      </c>
      <c r="X6" s="115">
        <v>0.0</v>
      </c>
      <c r="Y6" s="115">
        <v>0.0</v>
      </c>
      <c r="Z6" s="115">
        <v>0.0</v>
      </c>
      <c r="AA6" s="116">
        <v>136364.34</v>
      </c>
      <c r="AB6" s="115">
        <v>40.01769912</v>
      </c>
      <c r="AC6" s="115">
        <v>0.0</v>
      </c>
      <c r="AD6" s="116">
        <v>28865.17</v>
      </c>
      <c r="AE6" s="115">
        <v>79.36804137</v>
      </c>
      <c r="AF6" s="115">
        <v>0.0</v>
      </c>
      <c r="AG6" s="116">
        <v>112621.66</v>
      </c>
      <c r="AH6" s="115">
        <v>1.06</v>
      </c>
      <c r="AI6" s="115">
        <v>0.0</v>
      </c>
      <c r="AJ6" s="116">
        <v>1234.62</v>
      </c>
      <c r="AK6" s="116">
        <v>180564.7</v>
      </c>
      <c r="AL6" s="116">
        <v>28938.0</v>
      </c>
      <c r="AM6" s="116">
        <v>2667674.26</v>
      </c>
      <c r="AN6" s="116">
        <v>79756.19</v>
      </c>
      <c r="AO6" s="116">
        <v>28938.0</v>
      </c>
      <c r="AP6" s="116">
        <v>180564.7</v>
      </c>
      <c r="AQ6" s="116">
        <v>2537927.75</v>
      </c>
      <c r="AR6" s="116">
        <v>384.0</v>
      </c>
      <c r="AS6" s="116">
        <v>6609.186849</v>
      </c>
      <c r="AT6" s="116">
        <v>6609.186849</v>
      </c>
      <c r="AU6" s="116">
        <v>2637065.553</v>
      </c>
      <c r="AV6" s="116">
        <v>28938.0</v>
      </c>
      <c r="AW6" s="116">
        <v>180564.7</v>
      </c>
      <c r="AX6" s="116">
        <v>2846568.25</v>
      </c>
      <c r="AY6" s="116">
        <v>115033.92</v>
      </c>
      <c r="AZ6" s="116">
        <v>2846568.25</v>
      </c>
      <c r="BA6" s="116">
        <v>4795.98</v>
      </c>
      <c r="BB6" s="117">
        <v>3441.52</v>
      </c>
      <c r="BC6" s="116">
        <v>1348.62</v>
      </c>
      <c r="BD6" s="116">
        <v>1204.98</v>
      </c>
      <c r="BE6" s="116">
        <v>3511.2</v>
      </c>
      <c r="BF6" s="116">
        <v>10413.9</v>
      </c>
      <c r="BG6" s="116">
        <v>24716.2</v>
      </c>
      <c r="BH6" s="118">
        <v>384.0</v>
      </c>
      <c r="BI6" s="118">
        <v>1930648.3199999998</v>
      </c>
      <c r="BJ6" s="118">
        <v>0.0</v>
      </c>
      <c r="BK6" s="118">
        <v>0.0</v>
      </c>
      <c r="BL6" s="118">
        <v>55111.26</v>
      </c>
      <c r="BM6" s="118">
        <v>119271.55</v>
      </c>
      <c r="BN6" s="118">
        <v>50657.88</v>
      </c>
      <c r="BO6" s="118">
        <v>18228.24</v>
      </c>
      <c r="BP6" s="118">
        <v>10541.4</v>
      </c>
      <c r="BQ6" s="118">
        <v>24375.54</v>
      </c>
      <c r="BR6" s="118">
        <v>26483.7</v>
      </c>
      <c r="BS6" s="118">
        <v>0.0</v>
      </c>
      <c r="BT6" s="118">
        <v>26645.3</v>
      </c>
      <c r="BU6" s="118">
        <v>114423.85</v>
      </c>
      <c r="BV6" s="118">
        <v>0.0</v>
      </c>
      <c r="BW6" s="118">
        <v>171859.34</v>
      </c>
      <c r="BX6" s="118">
        <v>28938.0</v>
      </c>
      <c r="BY6" s="118">
        <v>90489.88</v>
      </c>
      <c r="BZ6" s="118">
        <v>2667674.26</v>
      </c>
      <c r="CA6" s="118">
        <v>52300.8</v>
      </c>
      <c r="CB6" s="118">
        <v>0.0</v>
      </c>
      <c r="CC6" s="118">
        <v>0.0</v>
      </c>
      <c r="CD6" s="118">
        <v>12376.6</v>
      </c>
      <c r="CE6" s="118">
        <v>4500.78</v>
      </c>
      <c r="CF6" s="117">
        <v>0.0</v>
      </c>
      <c r="CG6" s="119">
        <v>69178.18</v>
      </c>
      <c r="CH6" s="119"/>
      <c r="CI6" s="119">
        <v>9665.0</v>
      </c>
      <c r="CJ6" s="119">
        <v>0.0</v>
      </c>
      <c r="CK6" s="116">
        <v>7.28</v>
      </c>
      <c r="CL6" s="116">
        <v>0.18</v>
      </c>
      <c r="CM6" s="116">
        <v>0.12</v>
      </c>
      <c r="CN6" s="116">
        <v>0.68</v>
      </c>
      <c r="CO6" s="116">
        <v>8.26</v>
      </c>
      <c r="CP6" s="120">
        <v>28.0</v>
      </c>
      <c r="CQ6" s="120">
        <v>17.0</v>
      </c>
      <c r="CR6" s="120">
        <v>0.0</v>
      </c>
      <c r="CS6" s="120">
        <v>0.0</v>
      </c>
      <c r="CT6" s="120">
        <v>9.0</v>
      </c>
      <c r="CU6" s="120">
        <v>24.0</v>
      </c>
      <c r="CV6" s="120">
        <v>0.0</v>
      </c>
      <c r="CW6" s="120">
        <v>0.0</v>
      </c>
      <c r="CX6" s="120">
        <v>19.0</v>
      </c>
      <c r="CY6" s="120">
        <v>13.0</v>
      </c>
      <c r="CZ6" s="120">
        <v>0.0</v>
      </c>
      <c r="DA6" s="120">
        <v>0.0</v>
      </c>
      <c r="DB6" s="120">
        <v>10.0</v>
      </c>
      <c r="DC6" s="120">
        <v>2.0</v>
      </c>
      <c r="DD6" s="120">
        <v>8.0</v>
      </c>
      <c r="DE6" s="121"/>
      <c r="DF6" s="122"/>
      <c r="DG6" s="122"/>
      <c r="DH6" s="122"/>
      <c r="DI6" s="122"/>
      <c r="DJ6" s="122"/>
      <c r="DK6" s="122"/>
      <c r="DL6" s="122"/>
      <c r="DM6" s="122"/>
      <c r="DN6" s="122"/>
      <c r="DO6" s="122"/>
      <c r="DP6" s="122"/>
    </row>
    <row r="7">
      <c r="A7" s="115">
        <v>2042388.0</v>
      </c>
      <c r="B7" s="115" t="s">
        <v>383</v>
      </c>
      <c r="C7" s="115" t="s">
        <v>379</v>
      </c>
      <c r="D7" s="115" t="s">
        <v>17</v>
      </c>
      <c r="E7" s="115">
        <v>395.0</v>
      </c>
      <c r="F7" s="115">
        <v>0.0</v>
      </c>
      <c r="G7" s="115">
        <v>0.0</v>
      </c>
      <c r="H7" s="116">
        <v>2019698.2</v>
      </c>
      <c r="I7" s="115">
        <v>130.0</v>
      </c>
      <c r="J7" s="115">
        <v>0.0</v>
      </c>
      <c r="K7" s="116">
        <v>77629.5</v>
      </c>
      <c r="L7" s="115">
        <v>130.0</v>
      </c>
      <c r="M7" s="115">
        <v>0.0</v>
      </c>
      <c r="N7" s="116">
        <v>186004.0</v>
      </c>
      <c r="O7" s="115">
        <v>51.0</v>
      </c>
      <c r="P7" s="115">
        <v>89.0</v>
      </c>
      <c r="Q7" s="115">
        <v>91.0</v>
      </c>
      <c r="R7" s="115">
        <v>27.0</v>
      </c>
      <c r="S7" s="115">
        <v>96.0</v>
      </c>
      <c r="T7" s="115">
        <v>1.0</v>
      </c>
      <c r="U7" s="115">
        <v>0.0</v>
      </c>
      <c r="V7" s="115">
        <v>0.0</v>
      </c>
      <c r="W7" s="115">
        <v>0.0</v>
      </c>
      <c r="X7" s="115">
        <v>0.0</v>
      </c>
      <c r="Y7" s="115">
        <v>0.0</v>
      </c>
      <c r="Z7" s="115">
        <v>0.0</v>
      </c>
      <c r="AA7" s="116">
        <v>170909.79</v>
      </c>
      <c r="AB7" s="115">
        <v>83.4672619</v>
      </c>
      <c r="AC7" s="115">
        <v>0.0</v>
      </c>
      <c r="AD7" s="116">
        <v>60205.77</v>
      </c>
      <c r="AE7" s="115">
        <v>97.08554855</v>
      </c>
      <c r="AF7" s="115">
        <v>0.0</v>
      </c>
      <c r="AG7" s="116">
        <v>137762.45</v>
      </c>
      <c r="AH7" s="115">
        <v>0.0</v>
      </c>
      <c r="AI7" s="115">
        <v>0.0</v>
      </c>
      <c r="AJ7" s="116">
        <v>0.0</v>
      </c>
      <c r="AK7" s="116">
        <v>180564.7</v>
      </c>
      <c r="AL7" s="116">
        <v>50374.0</v>
      </c>
      <c r="AM7" s="116">
        <v>2865495.49</v>
      </c>
      <c r="AN7" s="116">
        <v>84458.32</v>
      </c>
      <c r="AO7" s="116">
        <v>50374.0</v>
      </c>
      <c r="AP7" s="116">
        <v>180564.7</v>
      </c>
      <c r="AQ7" s="116">
        <v>2719015.11</v>
      </c>
      <c r="AR7" s="116">
        <v>398.0</v>
      </c>
      <c r="AS7" s="116">
        <v>6831.696256</v>
      </c>
      <c r="AT7" s="116">
        <v>6831.696256</v>
      </c>
      <c r="AU7" s="116">
        <v>2698520.021</v>
      </c>
      <c r="AV7" s="116">
        <v>50374.0</v>
      </c>
      <c r="AW7" s="116">
        <v>180564.7</v>
      </c>
      <c r="AX7" s="116">
        <v>2929458.72</v>
      </c>
      <c r="AY7" s="116">
        <v>46310.31</v>
      </c>
      <c r="AZ7" s="116">
        <v>2929458.72</v>
      </c>
      <c r="BA7" s="116">
        <v>4747.9</v>
      </c>
      <c r="BB7" s="117">
        <v>7178.18</v>
      </c>
      <c r="BC7" s="116">
        <v>1335.1</v>
      </c>
      <c r="BD7" s="116">
        <v>1192.9</v>
      </c>
      <c r="BE7" s="116">
        <v>3476.0</v>
      </c>
      <c r="BF7" s="116">
        <v>10309.5</v>
      </c>
      <c r="BG7" s="116">
        <v>28239.58</v>
      </c>
      <c r="BH7" s="118">
        <v>398.0</v>
      </c>
      <c r="BI7" s="118">
        <v>2001036.5399999998</v>
      </c>
      <c r="BJ7" s="118">
        <v>0.0</v>
      </c>
      <c r="BK7" s="118">
        <v>0.0</v>
      </c>
      <c r="BL7" s="118">
        <v>65664.48</v>
      </c>
      <c r="BM7" s="118">
        <v>140614.88</v>
      </c>
      <c r="BN7" s="118">
        <v>16143.72</v>
      </c>
      <c r="BO7" s="118">
        <v>30717.96</v>
      </c>
      <c r="BP7" s="118">
        <v>51652.86</v>
      </c>
      <c r="BQ7" s="118">
        <v>13348.51</v>
      </c>
      <c r="BR7" s="118">
        <v>51735.6</v>
      </c>
      <c r="BS7" s="118">
        <v>811.33</v>
      </c>
      <c r="BT7" s="118">
        <v>65995.89</v>
      </c>
      <c r="BU7" s="118">
        <v>136583.73</v>
      </c>
      <c r="BV7" s="118">
        <v>2423.1</v>
      </c>
      <c r="BW7" s="118">
        <v>171859.34</v>
      </c>
      <c r="BX7" s="118">
        <v>50374.0</v>
      </c>
      <c r="BY7" s="118">
        <v>66533.55</v>
      </c>
      <c r="BZ7" s="118">
        <v>2865495.49</v>
      </c>
      <c r="CA7" s="118">
        <v>54207.6</v>
      </c>
      <c r="CB7" s="118">
        <v>0.0</v>
      </c>
      <c r="CC7" s="118">
        <v>0.0</v>
      </c>
      <c r="CD7" s="118">
        <v>14591.359999999999</v>
      </c>
      <c r="CE7" s="118">
        <v>4500.78</v>
      </c>
      <c r="CF7" s="117">
        <v>0.0</v>
      </c>
      <c r="CG7" s="119">
        <v>73299.73999999999</v>
      </c>
      <c r="CH7" s="119"/>
      <c r="CI7" s="119">
        <v>9695.0</v>
      </c>
      <c r="CJ7" s="119">
        <v>0.0</v>
      </c>
      <c r="CK7" s="116">
        <v>7.28</v>
      </c>
      <c r="CL7" s="116">
        <v>0.23</v>
      </c>
      <c r="CM7" s="116">
        <v>0.28</v>
      </c>
      <c r="CN7" s="116">
        <v>0.68</v>
      </c>
      <c r="CO7" s="116">
        <v>8.47</v>
      </c>
      <c r="CP7" s="120">
        <v>17.0</v>
      </c>
      <c r="CQ7" s="120">
        <v>11.0</v>
      </c>
      <c r="CR7" s="120">
        <v>0.0</v>
      </c>
      <c r="CS7" s="120">
        <v>0.0</v>
      </c>
      <c r="CT7" s="120">
        <v>12.0</v>
      </c>
      <c r="CU7" s="120">
        <v>9.0</v>
      </c>
      <c r="CV7" s="120">
        <v>0.0</v>
      </c>
      <c r="CW7" s="120">
        <v>0.0</v>
      </c>
      <c r="CX7" s="120">
        <v>17.0</v>
      </c>
      <c r="CY7" s="120">
        <v>10.0</v>
      </c>
      <c r="CZ7" s="120">
        <v>0.0</v>
      </c>
      <c r="DA7" s="120">
        <v>0.0</v>
      </c>
      <c r="DB7" s="120">
        <v>7.0</v>
      </c>
      <c r="DC7" s="120">
        <v>3.0</v>
      </c>
      <c r="DD7" s="120">
        <v>7.0</v>
      </c>
      <c r="DE7" s="121"/>
      <c r="DF7" s="122"/>
      <c r="DG7" s="122"/>
      <c r="DH7" s="122"/>
      <c r="DI7" s="122"/>
      <c r="DJ7" s="122"/>
      <c r="DK7" s="122"/>
      <c r="DL7" s="122"/>
      <c r="DM7" s="122"/>
      <c r="DN7" s="122"/>
      <c r="DO7" s="122"/>
      <c r="DP7" s="122"/>
    </row>
    <row r="8">
      <c r="A8" s="115">
        <v>2042421.0</v>
      </c>
      <c r="B8" s="115" t="s">
        <v>384</v>
      </c>
      <c r="C8" s="115" t="s">
        <v>379</v>
      </c>
      <c r="D8" s="115" t="s">
        <v>17</v>
      </c>
      <c r="E8" s="115">
        <v>611.0</v>
      </c>
      <c r="F8" s="115">
        <v>0.0</v>
      </c>
      <c r="G8" s="115">
        <v>0.0</v>
      </c>
      <c r="H8" s="116">
        <v>3124140.76</v>
      </c>
      <c r="I8" s="115">
        <v>159.0</v>
      </c>
      <c r="J8" s="115">
        <v>0.0</v>
      </c>
      <c r="K8" s="116">
        <v>94946.85</v>
      </c>
      <c r="L8" s="115">
        <v>159.0</v>
      </c>
      <c r="M8" s="115">
        <v>0.0</v>
      </c>
      <c r="N8" s="116">
        <v>227497.2</v>
      </c>
      <c r="O8" s="115">
        <v>83.0</v>
      </c>
      <c r="P8" s="115">
        <v>148.0</v>
      </c>
      <c r="Q8" s="115">
        <v>81.0</v>
      </c>
      <c r="R8" s="115">
        <v>80.0</v>
      </c>
      <c r="S8" s="115">
        <v>30.0</v>
      </c>
      <c r="T8" s="115">
        <v>4.0</v>
      </c>
      <c r="U8" s="115">
        <v>0.0</v>
      </c>
      <c r="V8" s="115">
        <v>0.0</v>
      </c>
      <c r="W8" s="115">
        <v>0.0</v>
      </c>
      <c r="X8" s="115">
        <v>0.0</v>
      </c>
      <c r="Y8" s="115">
        <v>0.0</v>
      </c>
      <c r="Z8" s="115">
        <v>0.0</v>
      </c>
      <c r="AA8" s="116">
        <v>187299.45</v>
      </c>
      <c r="AB8" s="115">
        <v>86.28625954</v>
      </c>
      <c r="AC8" s="115">
        <v>0.0</v>
      </c>
      <c r="AD8" s="116">
        <v>62239.14</v>
      </c>
      <c r="AE8" s="115">
        <v>148.3341299</v>
      </c>
      <c r="AF8" s="115">
        <v>0.0</v>
      </c>
      <c r="AG8" s="116">
        <v>210483.16</v>
      </c>
      <c r="AH8" s="115">
        <v>0.0</v>
      </c>
      <c r="AI8" s="115">
        <v>0.0</v>
      </c>
      <c r="AJ8" s="116">
        <v>0.0</v>
      </c>
      <c r="AK8" s="116">
        <v>180564.7</v>
      </c>
      <c r="AL8" s="116">
        <v>68486.0</v>
      </c>
      <c r="AM8" s="116">
        <v>4098169.49</v>
      </c>
      <c r="AN8" s="116">
        <v>118647.66</v>
      </c>
      <c r="AO8" s="116">
        <v>68486.0</v>
      </c>
      <c r="AP8" s="116">
        <v>180564.7</v>
      </c>
      <c r="AQ8" s="116">
        <v>3967766.45</v>
      </c>
      <c r="AR8" s="116">
        <v>588.0</v>
      </c>
      <c r="AS8" s="116">
        <v>6747.902126</v>
      </c>
      <c r="AT8" s="116">
        <v>6747.902126</v>
      </c>
      <c r="AU8" s="116">
        <v>4122968.199</v>
      </c>
      <c r="AV8" s="116">
        <v>68486.0</v>
      </c>
      <c r="AW8" s="116">
        <v>180564.7</v>
      </c>
      <c r="AX8" s="116">
        <v>4372018.9</v>
      </c>
      <c r="AY8" s="116">
        <v>216361.63</v>
      </c>
      <c r="AZ8" s="116">
        <v>4372018.9</v>
      </c>
      <c r="BA8" s="116">
        <v>7344.22</v>
      </c>
      <c r="BB8" s="117">
        <v>7420.62</v>
      </c>
      <c r="BC8" s="116">
        <v>2065.18</v>
      </c>
      <c r="BD8" s="116">
        <v>1845.22</v>
      </c>
      <c r="BE8" s="116">
        <v>5376.8</v>
      </c>
      <c r="BF8" s="116">
        <v>15947.1</v>
      </c>
      <c r="BG8" s="116">
        <v>39999.14</v>
      </c>
      <c r="BH8" s="118">
        <v>588.0</v>
      </c>
      <c r="BI8" s="118">
        <v>2956305.2399999998</v>
      </c>
      <c r="BJ8" s="118">
        <v>0.0</v>
      </c>
      <c r="BK8" s="118">
        <v>0.0</v>
      </c>
      <c r="BL8" s="118">
        <v>82666.89</v>
      </c>
      <c r="BM8" s="118">
        <v>177024.09</v>
      </c>
      <c r="BN8" s="118">
        <v>20597.16</v>
      </c>
      <c r="BO8" s="118">
        <v>48946.2</v>
      </c>
      <c r="BP8" s="118">
        <v>43746.81</v>
      </c>
      <c r="BQ8" s="118">
        <v>42367.01</v>
      </c>
      <c r="BR8" s="118">
        <v>16013.4</v>
      </c>
      <c r="BS8" s="118">
        <v>1622.66</v>
      </c>
      <c r="BT8" s="118">
        <v>79436.72</v>
      </c>
      <c r="BU8" s="118">
        <v>193129.38</v>
      </c>
      <c r="BV8" s="118">
        <v>0.0</v>
      </c>
      <c r="BW8" s="118">
        <v>171859.34</v>
      </c>
      <c r="BX8" s="118">
        <v>68486.0</v>
      </c>
      <c r="BY8" s="118">
        <v>195968.59</v>
      </c>
      <c r="BZ8" s="118">
        <v>4098169.49</v>
      </c>
      <c r="CA8" s="118">
        <v>80085.6</v>
      </c>
      <c r="CB8" s="118">
        <v>0.0</v>
      </c>
      <c r="CC8" s="118">
        <v>0.0</v>
      </c>
      <c r="CD8" s="118">
        <v>18369.48</v>
      </c>
      <c r="CE8" s="118">
        <v>4500.78</v>
      </c>
      <c r="CF8" s="117">
        <v>12.0</v>
      </c>
      <c r="CG8" s="119">
        <v>102955.86000000002</v>
      </c>
      <c r="CH8" s="119"/>
      <c r="CI8" s="119">
        <v>10540.0</v>
      </c>
      <c r="CJ8" s="119">
        <v>15080.0</v>
      </c>
      <c r="CK8" s="116">
        <v>7.28</v>
      </c>
      <c r="CL8" s="116">
        <v>0.17</v>
      </c>
      <c r="CM8" s="116">
        <v>0.07</v>
      </c>
      <c r="CN8" s="116">
        <v>0.68</v>
      </c>
      <c r="CO8" s="116">
        <v>8.2</v>
      </c>
      <c r="CP8" s="120">
        <v>32.0</v>
      </c>
      <c r="CQ8" s="120">
        <v>14.0</v>
      </c>
      <c r="CR8" s="120">
        <v>0.0</v>
      </c>
      <c r="CS8" s="120">
        <v>0.0</v>
      </c>
      <c r="CT8" s="120">
        <v>13.0</v>
      </c>
      <c r="CU8" s="120">
        <v>14.0</v>
      </c>
      <c r="CV8" s="120">
        <v>0.0</v>
      </c>
      <c r="CW8" s="120">
        <v>0.0</v>
      </c>
      <c r="CX8" s="120">
        <v>28.0</v>
      </c>
      <c r="CY8" s="120">
        <v>14.0</v>
      </c>
      <c r="CZ8" s="120">
        <v>0.0</v>
      </c>
      <c r="DA8" s="120">
        <v>0.0</v>
      </c>
      <c r="DB8" s="120">
        <v>1.0</v>
      </c>
      <c r="DC8" s="120">
        <v>1.0</v>
      </c>
      <c r="DD8" s="120">
        <v>1.0</v>
      </c>
      <c r="DE8" s="121"/>
      <c r="DF8" s="122"/>
      <c r="DG8" s="122"/>
      <c r="DH8" s="122"/>
      <c r="DI8" s="122"/>
      <c r="DJ8" s="122"/>
      <c r="DK8" s="122"/>
      <c r="DL8" s="122"/>
      <c r="DM8" s="122"/>
      <c r="DN8" s="122"/>
      <c r="DO8" s="122"/>
      <c r="DP8" s="122"/>
    </row>
    <row r="9">
      <c r="A9" s="115">
        <v>2042431.0</v>
      </c>
      <c r="B9" s="115" t="s">
        <v>385</v>
      </c>
      <c r="C9" s="115" t="s">
        <v>379</v>
      </c>
      <c r="D9" s="115" t="s">
        <v>17</v>
      </c>
      <c r="E9" s="115">
        <v>366.0</v>
      </c>
      <c r="F9" s="115">
        <v>0.0</v>
      </c>
      <c r="G9" s="115">
        <v>0.0</v>
      </c>
      <c r="H9" s="116">
        <v>1871416.56</v>
      </c>
      <c r="I9" s="115">
        <v>223.0</v>
      </c>
      <c r="J9" s="115">
        <v>0.0</v>
      </c>
      <c r="K9" s="116">
        <v>133164.45</v>
      </c>
      <c r="L9" s="115">
        <v>227.0</v>
      </c>
      <c r="M9" s="115">
        <v>0.0</v>
      </c>
      <c r="N9" s="116">
        <v>324791.6</v>
      </c>
      <c r="O9" s="115">
        <v>34.0</v>
      </c>
      <c r="P9" s="115">
        <v>75.0</v>
      </c>
      <c r="Q9" s="115">
        <v>33.0</v>
      </c>
      <c r="R9" s="115">
        <v>73.0</v>
      </c>
      <c r="S9" s="115">
        <v>136.0</v>
      </c>
      <c r="T9" s="115">
        <v>7.0</v>
      </c>
      <c r="U9" s="115">
        <v>0.0</v>
      </c>
      <c r="V9" s="115">
        <v>0.0</v>
      </c>
      <c r="W9" s="115">
        <v>0.0</v>
      </c>
      <c r="X9" s="115">
        <v>0.0</v>
      </c>
      <c r="Y9" s="115">
        <v>0.0</v>
      </c>
      <c r="Z9" s="115">
        <v>0.0</v>
      </c>
      <c r="AA9" s="116">
        <v>187310.45</v>
      </c>
      <c r="AB9" s="115">
        <v>92.06832298</v>
      </c>
      <c r="AC9" s="115">
        <v>0.0</v>
      </c>
      <c r="AD9" s="116">
        <v>66409.8</v>
      </c>
      <c r="AE9" s="115">
        <v>120.2745778</v>
      </c>
      <c r="AF9" s="115">
        <v>0.0</v>
      </c>
      <c r="AG9" s="116">
        <v>170667.22</v>
      </c>
      <c r="AH9" s="115">
        <v>20.04</v>
      </c>
      <c r="AI9" s="115">
        <v>0.0</v>
      </c>
      <c r="AJ9" s="116">
        <v>23341.39</v>
      </c>
      <c r="AK9" s="116">
        <v>180564.7</v>
      </c>
      <c r="AL9" s="116">
        <v>57732.0</v>
      </c>
      <c r="AM9" s="116">
        <v>2844025.46</v>
      </c>
      <c r="AN9" s="116">
        <v>94029.58</v>
      </c>
      <c r="AO9" s="116">
        <v>57732.0</v>
      </c>
      <c r="AP9" s="116">
        <v>180564.7</v>
      </c>
      <c r="AQ9" s="116">
        <v>2699758.34</v>
      </c>
      <c r="AR9" s="116">
        <v>359.0</v>
      </c>
      <c r="AS9" s="116">
        <v>7520.218217</v>
      </c>
      <c r="AT9" s="116">
        <v>7520.218217</v>
      </c>
      <c r="AU9" s="116">
        <v>2752399.868</v>
      </c>
      <c r="AV9" s="116">
        <v>57732.0</v>
      </c>
      <c r="AW9" s="116">
        <v>180564.7</v>
      </c>
      <c r="AX9" s="116">
        <v>2990696.57</v>
      </c>
      <c r="AY9" s="116">
        <v>0.0</v>
      </c>
      <c r="AZ9" s="116">
        <v>3015398.17</v>
      </c>
      <c r="BA9" s="116">
        <v>4399.32</v>
      </c>
      <c r="BB9" s="117">
        <v>7917.88</v>
      </c>
      <c r="BC9" s="116">
        <v>1237.08</v>
      </c>
      <c r="BD9" s="116">
        <v>1105.32</v>
      </c>
      <c r="BE9" s="116">
        <v>3220.8</v>
      </c>
      <c r="BF9" s="116">
        <v>9552.6</v>
      </c>
      <c r="BG9" s="116">
        <v>27433.0</v>
      </c>
      <c r="BH9" s="118">
        <v>359.0</v>
      </c>
      <c r="BI9" s="118">
        <v>1804955.0699999998</v>
      </c>
      <c r="BJ9" s="118">
        <v>0.0</v>
      </c>
      <c r="BK9" s="118">
        <v>0.0</v>
      </c>
      <c r="BL9" s="118">
        <v>127224.93</v>
      </c>
      <c r="BM9" s="118">
        <v>274952.31</v>
      </c>
      <c r="BN9" s="118">
        <v>9463.56</v>
      </c>
      <c r="BO9" s="118">
        <v>25654.56</v>
      </c>
      <c r="BP9" s="118">
        <v>15285.03</v>
      </c>
      <c r="BQ9" s="118">
        <v>38884.79</v>
      </c>
      <c r="BR9" s="118">
        <v>87457.8</v>
      </c>
      <c r="BS9" s="118">
        <v>4056.65</v>
      </c>
      <c r="BT9" s="118">
        <v>75819.61</v>
      </c>
      <c r="BU9" s="118">
        <v>150680.48</v>
      </c>
      <c r="BV9" s="118">
        <v>0.0</v>
      </c>
      <c r="BW9" s="118">
        <v>171859.34</v>
      </c>
      <c r="BX9" s="118">
        <v>57732.0</v>
      </c>
      <c r="BY9" s="118">
        <v>0.0</v>
      </c>
      <c r="BZ9" s="118">
        <v>2844026.13</v>
      </c>
      <c r="CA9" s="118">
        <v>48895.799999999996</v>
      </c>
      <c r="CB9" s="118">
        <v>0.0</v>
      </c>
      <c r="CC9" s="118">
        <v>0.0</v>
      </c>
      <c r="CD9" s="118">
        <v>28531.32</v>
      </c>
      <c r="CE9" s="118">
        <v>4500.78</v>
      </c>
      <c r="CF9" s="117">
        <v>0.0</v>
      </c>
      <c r="CG9" s="119">
        <v>81927.9</v>
      </c>
      <c r="CH9" s="119"/>
      <c r="CI9" s="119">
        <v>9565.0</v>
      </c>
      <c r="CJ9" s="119">
        <v>0.0</v>
      </c>
      <c r="CK9" s="116">
        <v>7.28</v>
      </c>
      <c r="CL9" s="116">
        <v>0.2</v>
      </c>
      <c r="CM9" s="116">
        <v>1.05</v>
      </c>
      <c r="CN9" s="116">
        <v>0.68</v>
      </c>
      <c r="CO9" s="116">
        <v>9.21</v>
      </c>
      <c r="CP9" s="120">
        <v>45.0</v>
      </c>
      <c r="CQ9" s="120">
        <v>13.0</v>
      </c>
      <c r="CR9" s="120">
        <v>23.0</v>
      </c>
      <c r="CS9" s="120">
        <v>10.0</v>
      </c>
      <c r="CT9" s="120">
        <v>22.0</v>
      </c>
      <c r="CU9" s="120">
        <v>11.0</v>
      </c>
      <c r="CV9" s="120">
        <v>23.0</v>
      </c>
      <c r="CW9" s="120">
        <v>10.0</v>
      </c>
      <c r="CX9" s="120">
        <v>35.0</v>
      </c>
      <c r="CY9" s="120">
        <v>16.0</v>
      </c>
      <c r="CZ9" s="120">
        <v>23.0</v>
      </c>
      <c r="DA9" s="120">
        <v>10.0</v>
      </c>
      <c r="DB9" s="120">
        <v>19.0</v>
      </c>
      <c r="DC9" s="120">
        <v>18.0</v>
      </c>
      <c r="DD9" s="120">
        <v>20.0</v>
      </c>
      <c r="DE9" s="121"/>
      <c r="DF9" s="122"/>
      <c r="DG9" s="122"/>
      <c r="DH9" s="122"/>
      <c r="DI9" s="122"/>
      <c r="DJ9" s="122"/>
      <c r="DK9" s="122"/>
      <c r="DL9" s="122"/>
      <c r="DM9" s="122"/>
      <c r="DN9" s="122"/>
      <c r="DO9" s="122"/>
      <c r="DP9" s="122"/>
    </row>
    <row r="10">
      <c r="A10" s="115">
        <v>2042450.0</v>
      </c>
      <c r="B10" s="115" t="s">
        <v>386</v>
      </c>
      <c r="C10" s="115" t="s">
        <v>379</v>
      </c>
      <c r="D10" s="115" t="s">
        <v>17</v>
      </c>
      <c r="E10" s="115">
        <v>496.0</v>
      </c>
      <c r="F10" s="115">
        <v>0.0</v>
      </c>
      <c r="G10" s="115">
        <v>0.0</v>
      </c>
      <c r="H10" s="116">
        <v>2536127.36</v>
      </c>
      <c r="I10" s="115">
        <v>303.0</v>
      </c>
      <c r="J10" s="115">
        <v>0.0</v>
      </c>
      <c r="K10" s="116">
        <v>180936.45</v>
      </c>
      <c r="L10" s="115">
        <v>307.0</v>
      </c>
      <c r="M10" s="115">
        <v>0.0</v>
      </c>
      <c r="N10" s="116">
        <v>439255.6</v>
      </c>
      <c r="O10" s="115">
        <v>98.39676113</v>
      </c>
      <c r="P10" s="115">
        <v>97.39271255</v>
      </c>
      <c r="Q10" s="115">
        <v>46.18623482</v>
      </c>
      <c r="R10" s="115">
        <v>59.2388664</v>
      </c>
      <c r="S10" s="115">
        <v>187.757085</v>
      </c>
      <c r="T10" s="115">
        <v>1.004048583</v>
      </c>
      <c r="U10" s="115">
        <v>0.0</v>
      </c>
      <c r="V10" s="115">
        <v>0.0</v>
      </c>
      <c r="W10" s="115">
        <v>0.0</v>
      </c>
      <c r="X10" s="115">
        <v>0.0</v>
      </c>
      <c r="Y10" s="115">
        <v>0.0</v>
      </c>
      <c r="Z10" s="115">
        <v>0.0</v>
      </c>
      <c r="AA10" s="116">
        <v>239697.21</v>
      </c>
      <c r="AB10" s="115">
        <v>96.97078652</v>
      </c>
      <c r="AC10" s="115">
        <v>0.0</v>
      </c>
      <c r="AD10" s="116">
        <v>69946.0</v>
      </c>
      <c r="AE10" s="115">
        <v>131.1700381</v>
      </c>
      <c r="AF10" s="115">
        <v>0.0</v>
      </c>
      <c r="AG10" s="116">
        <v>186127.66</v>
      </c>
      <c r="AH10" s="115">
        <v>21.24</v>
      </c>
      <c r="AI10" s="115">
        <v>0.0</v>
      </c>
      <c r="AJ10" s="116">
        <v>24739.08</v>
      </c>
      <c r="AK10" s="116">
        <v>180564.7</v>
      </c>
      <c r="AL10" s="116">
        <v>46978.0</v>
      </c>
      <c r="AM10" s="116">
        <v>3805230.76</v>
      </c>
      <c r="AN10" s="116">
        <v>127183.75</v>
      </c>
      <c r="AO10" s="116">
        <v>46978.0</v>
      </c>
      <c r="AP10" s="116">
        <v>180564.7</v>
      </c>
      <c r="AQ10" s="116">
        <v>3704871.81</v>
      </c>
      <c r="AR10" s="116">
        <v>507.0</v>
      </c>
      <c r="AS10" s="116">
        <v>7307.439467</v>
      </c>
      <c r="AT10" s="116">
        <v>7307.439467</v>
      </c>
      <c r="AU10" s="116">
        <v>3624489.976</v>
      </c>
      <c r="AV10" s="116">
        <v>46978.0</v>
      </c>
      <c r="AW10" s="116">
        <v>180564.7</v>
      </c>
      <c r="AX10" s="116">
        <v>3852032.68</v>
      </c>
      <c r="AY10" s="116">
        <v>0.0</v>
      </c>
      <c r="AZ10" s="116">
        <v>3904372.06</v>
      </c>
      <c r="BA10" s="116">
        <v>5961.92</v>
      </c>
      <c r="BB10" s="117">
        <v>8339.49</v>
      </c>
      <c r="BC10" s="116">
        <v>1676.48</v>
      </c>
      <c r="BD10" s="116">
        <v>1497.92</v>
      </c>
      <c r="BE10" s="116">
        <v>4364.8</v>
      </c>
      <c r="BF10" s="116">
        <v>12945.6</v>
      </c>
      <c r="BG10" s="116">
        <v>34786.21</v>
      </c>
      <c r="BH10" s="118">
        <v>507.0</v>
      </c>
      <c r="BI10" s="118">
        <v>2549059.11</v>
      </c>
      <c r="BJ10" s="118">
        <v>0.0</v>
      </c>
      <c r="BK10" s="118">
        <v>0.0</v>
      </c>
      <c r="BL10" s="118">
        <v>164161.2</v>
      </c>
      <c r="BM10" s="118">
        <v>359070.14</v>
      </c>
      <c r="BN10" s="118">
        <v>28947.36</v>
      </c>
      <c r="BO10" s="118">
        <v>36456.48</v>
      </c>
      <c r="BP10" s="118">
        <v>18447.45</v>
      </c>
      <c r="BQ10" s="118">
        <v>30759.61</v>
      </c>
      <c r="BR10" s="118">
        <v>123795.9</v>
      </c>
      <c r="BS10" s="118">
        <v>811.33</v>
      </c>
      <c r="BT10" s="118">
        <v>81600.23</v>
      </c>
      <c r="BU10" s="118">
        <v>185487.02</v>
      </c>
      <c r="BV10" s="118">
        <v>5234.8</v>
      </c>
      <c r="BW10" s="118">
        <v>171859.34</v>
      </c>
      <c r="BX10" s="118">
        <v>46978.0</v>
      </c>
      <c r="BY10" s="118">
        <v>2562.79</v>
      </c>
      <c r="BZ10" s="118">
        <v>3805230.76</v>
      </c>
      <c r="CA10" s="118">
        <v>69053.40000000001</v>
      </c>
      <c r="CB10" s="118">
        <v>0.0</v>
      </c>
      <c r="CC10" s="118">
        <v>0.0</v>
      </c>
      <c r="CD10" s="118">
        <v>37260.08</v>
      </c>
      <c r="CE10" s="118">
        <v>4500.78</v>
      </c>
      <c r="CF10" s="117">
        <v>0.0</v>
      </c>
      <c r="CG10" s="119">
        <v>110814.26000000001</v>
      </c>
      <c r="CH10" s="119"/>
      <c r="CI10" s="119">
        <v>10240.0</v>
      </c>
      <c r="CJ10" s="119">
        <v>0.0</v>
      </c>
      <c r="CK10" s="116">
        <v>7.28</v>
      </c>
      <c r="CL10" s="116">
        <v>0.22</v>
      </c>
      <c r="CM10" s="116">
        <v>0.43</v>
      </c>
      <c r="CN10" s="116">
        <v>0.68</v>
      </c>
      <c r="CO10" s="116">
        <v>8.61</v>
      </c>
      <c r="CP10" s="120">
        <v>24.0</v>
      </c>
      <c r="CQ10" s="120">
        <v>17.0</v>
      </c>
      <c r="CR10" s="120">
        <v>0.0</v>
      </c>
      <c r="CS10" s="120">
        <v>0.0</v>
      </c>
      <c r="CT10" s="120">
        <v>14.0</v>
      </c>
      <c r="CU10" s="120">
        <v>9.0</v>
      </c>
      <c r="CV10" s="120">
        <v>0.0</v>
      </c>
      <c r="CW10" s="120">
        <v>0.0</v>
      </c>
      <c r="CX10" s="120">
        <v>14.0</v>
      </c>
      <c r="CY10" s="120">
        <v>14.0</v>
      </c>
      <c r="CZ10" s="120">
        <v>0.0</v>
      </c>
      <c r="DA10" s="120">
        <v>0.0</v>
      </c>
      <c r="DB10" s="120">
        <v>12.0</v>
      </c>
      <c r="DC10" s="120">
        <v>5.0</v>
      </c>
      <c r="DD10" s="120">
        <v>9.0</v>
      </c>
      <c r="DE10" s="121"/>
      <c r="DF10" s="122"/>
      <c r="DG10" s="122"/>
      <c r="DH10" s="122"/>
      <c r="DI10" s="122"/>
      <c r="DJ10" s="122"/>
      <c r="DK10" s="122"/>
      <c r="DL10" s="122"/>
      <c r="DM10" s="122"/>
      <c r="DN10" s="122"/>
      <c r="DO10" s="122"/>
      <c r="DP10" s="122"/>
    </row>
    <row r="11">
      <c r="A11" s="115">
        <v>2042487.0</v>
      </c>
      <c r="B11" s="115" t="s">
        <v>387</v>
      </c>
      <c r="C11" s="115" t="s">
        <v>379</v>
      </c>
      <c r="D11" s="115" t="s">
        <v>17</v>
      </c>
      <c r="E11" s="115">
        <v>393.0</v>
      </c>
      <c r="F11" s="115">
        <v>0.0</v>
      </c>
      <c r="G11" s="115">
        <v>0.0</v>
      </c>
      <c r="H11" s="116">
        <v>2009471.88</v>
      </c>
      <c r="I11" s="115">
        <v>160.0</v>
      </c>
      <c r="J11" s="115">
        <v>0.0</v>
      </c>
      <c r="K11" s="116">
        <v>95544.0</v>
      </c>
      <c r="L11" s="115">
        <v>161.0</v>
      </c>
      <c r="M11" s="115">
        <v>0.0</v>
      </c>
      <c r="N11" s="116">
        <v>230358.8</v>
      </c>
      <c r="O11" s="115">
        <v>59.0</v>
      </c>
      <c r="P11" s="115">
        <v>68.0</v>
      </c>
      <c r="Q11" s="115">
        <v>72.0</v>
      </c>
      <c r="R11" s="115">
        <v>36.0</v>
      </c>
      <c r="S11" s="115">
        <v>127.0</v>
      </c>
      <c r="T11" s="115">
        <v>15.0</v>
      </c>
      <c r="U11" s="115">
        <v>0.0</v>
      </c>
      <c r="V11" s="115">
        <v>0.0</v>
      </c>
      <c r="W11" s="115">
        <v>0.0</v>
      </c>
      <c r="X11" s="115">
        <v>0.0</v>
      </c>
      <c r="Y11" s="115">
        <v>0.0</v>
      </c>
      <c r="Z11" s="115">
        <v>0.0</v>
      </c>
      <c r="AA11" s="116">
        <v>192093.83</v>
      </c>
      <c r="AB11" s="115">
        <v>74.04347826</v>
      </c>
      <c r="AC11" s="115">
        <v>0.0</v>
      </c>
      <c r="AD11" s="116">
        <v>53408.3</v>
      </c>
      <c r="AE11" s="115">
        <v>101.1540332</v>
      </c>
      <c r="AF11" s="115">
        <v>0.0</v>
      </c>
      <c r="AG11" s="116">
        <v>143535.55</v>
      </c>
      <c r="AH11" s="115">
        <v>7.42</v>
      </c>
      <c r="AI11" s="115">
        <v>0.0</v>
      </c>
      <c r="AJ11" s="116">
        <v>8642.37</v>
      </c>
      <c r="AK11" s="116">
        <v>180564.7</v>
      </c>
      <c r="AL11" s="116">
        <v>58864.0</v>
      </c>
      <c r="AM11" s="116">
        <v>3036334.32</v>
      </c>
      <c r="AN11" s="116">
        <v>91908.29</v>
      </c>
      <c r="AO11" s="116">
        <v>58864.0</v>
      </c>
      <c r="AP11" s="116">
        <v>180564.7</v>
      </c>
      <c r="AQ11" s="116">
        <v>2888813.91</v>
      </c>
      <c r="AR11" s="116">
        <v>408.0</v>
      </c>
      <c r="AS11" s="116">
        <v>7080.42625</v>
      </c>
      <c r="AT11" s="116">
        <v>7080.42625</v>
      </c>
      <c r="AU11" s="116">
        <v>2782607.516</v>
      </c>
      <c r="AV11" s="116">
        <v>58864.0</v>
      </c>
      <c r="AW11" s="116">
        <v>180564.7</v>
      </c>
      <c r="AX11" s="116">
        <v>3022036.22</v>
      </c>
      <c r="AY11" s="116">
        <v>49552.78</v>
      </c>
      <c r="AZ11" s="116">
        <v>3022036.22</v>
      </c>
      <c r="BA11" s="116">
        <v>4723.86</v>
      </c>
      <c r="BB11" s="117">
        <v>6367.74</v>
      </c>
      <c r="BC11" s="116">
        <v>1328.34</v>
      </c>
      <c r="BD11" s="116">
        <v>1186.86</v>
      </c>
      <c r="BE11" s="116">
        <v>3458.4</v>
      </c>
      <c r="BF11" s="116">
        <v>10257.3</v>
      </c>
      <c r="BG11" s="116">
        <v>27322.5</v>
      </c>
      <c r="BH11" s="118">
        <v>408.0</v>
      </c>
      <c r="BI11" s="118">
        <v>2051313.8399999999</v>
      </c>
      <c r="BJ11" s="118">
        <v>0.0</v>
      </c>
      <c r="BK11" s="118">
        <v>0.0</v>
      </c>
      <c r="BL11" s="118">
        <v>87943.5</v>
      </c>
      <c r="BM11" s="118">
        <v>190834.48</v>
      </c>
      <c r="BN11" s="118">
        <v>15625.34</v>
      </c>
      <c r="BO11" s="118">
        <v>25717.59</v>
      </c>
      <c r="BP11" s="118">
        <v>37513.92</v>
      </c>
      <c r="BQ11" s="118">
        <v>18035.68</v>
      </c>
      <c r="BR11" s="118">
        <v>88290.1</v>
      </c>
      <c r="BS11" s="118">
        <v>12199.85</v>
      </c>
      <c r="BT11" s="118">
        <v>61790.08</v>
      </c>
      <c r="BU11" s="118">
        <v>148042.35</v>
      </c>
      <c r="BV11" s="118">
        <v>20024.83</v>
      </c>
      <c r="BW11" s="118">
        <v>171859.34</v>
      </c>
      <c r="BX11" s="118">
        <v>58864.0</v>
      </c>
      <c r="BY11" s="118">
        <v>48279.42</v>
      </c>
      <c r="BZ11" s="118">
        <v>3036334.31</v>
      </c>
      <c r="CA11" s="118">
        <v>55569.600000000006</v>
      </c>
      <c r="CB11" s="118">
        <v>0.0</v>
      </c>
      <c r="CC11" s="118">
        <v>0.0</v>
      </c>
      <c r="CD11" s="118">
        <v>19802.559999999998</v>
      </c>
      <c r="CE11" s="118">
        <v>4500.78</v>
      </c>
      <c r="CF11" s="117">
        <v>14.0</v>
      </c>
      <c r="CG11" s="119">
        <v>79872.94</v>
      </c>
      <c r="CH11" s="119"/>
      <c r="CI11" s="119">
        <v>9720.0</v>
      </c>
      <c r="CJ11" s="119">
        <v>15080.0</v>
      </c>
      <c r="CK11" s="116">
        <v>7.28</v>
      </c>
      <c r="CL11" s="116">
        <v>0.23</v>
      </c>
      <c r="CM11" s="116">
        <v>0.2</v>
      </c>
      <c r="CN11" s="116">
        <v>0.68</v>
      </c>
      <c r="CO11" s="116">
        <v>8.39</v>
      </c>
      <c r="CP11" s="120">
        <v>19.0</v>
      </c>
      <c r="CQ11" s="120">
        <v>9.0</v>
      </c>
      <c r="CR11" s="120">
        <v>0.0</v>
      </c>
      <c r="CS11" s="120">
        <v>0.0</v>
      </c>
      <c r="CT11" s="120">
        <v>10.0</v>
      </c>
      <c r="CU11" s="120">
        <v>0.0</v>
      </c>
      <c r="CV11" s="120">
        <v>0.0</v>
      </c>
      <c r="CW11" s="120">
        <v>0.0</v>
      </c>
      <c r="CX11" s="120">
        <v>15.0</v>
      </c>
      <c r="CY11" s="120">
        <v>6.0</v>
      </c>
      <c r="CZ11" s="120">
        <v>0.0</v>
      </c>
      <c r="DA11" s="120">
        <v>0.0</v>
      </c>
      <c r="DB11" s="120">
        <v>9.0</v>
      </c>
      <c r="DC11" s="120">
        <v>1.0</v>
      </c>
      <c r="DD11" s="120">
        <v>6.0</v>
      </c>
      <c r="DE11" s="121"/>
      <c r="DF11" s="122"/>
      <c r="DG11" s="122"/>
      <c r="DH11" s="122"/>
      <c r="DI11" s="122"/>
      <c r="DJ11" s="122"/>
      <c r="DK11" s="122"/>
      <c r="DL11" s="122"/>
      <c r="DM11" s="122"/>
      <c r="DN11" s="122"/>
      <c r="DO11" s="122"/>
      <c r="DP11" s="122"/>
    </row>
    <row r="12">
      <c r="A12" s="115">
        <v>2042532.0</v>
      </c>
      <c r="B12" s="115" t="s">
        <v>388</v>
      </c>
      <c r="C12" s="115" t="s">
        <v>379</v>
      </c>
      <c r="D12" s="115" t="s">
        <v>17</v>
      </c>
      <c r="E12" s="115">
        <v>189.0</v>
      </c>
      <c r="F12" s="115">
        <v>0.0</v>
      </c>
      <c r="G12" s="115">
        <v>0.0</v>
      </c>
      <c r="H12" s="116">
        <v>966387.24</v>
      </c>
      <c r="I12" s="115">
        <v>85.0</v>
      </c>
      <c r="J12" s="115">
        <v>0.0</v>
      </c>
      <c r="K12" s="116">
        <v>50757.75</v>
      </c>
      <c r="L12" s="115">
        <v>86.0</v>
      </c>
      <c r="M12" s="115">
        <v>0.0</v>
      </c>
      <c r="N12" s="116">
        <v>123048.8</v>
      </c>
      <c r="O12" s="115">
        <v>12.0</v>
      </c>
      <c r="P12" s="115">
        <v>72.0</v>
      </c>
      <c r="Q12" s="115">
        <v>24.0</v>
      </c>
      <c r="R12" s="115">
        <v>23.0</v>
      </c>
      <c r="S12" s="115">
        <v>37.0</v>
      </c>
      <c r="T12" s="115">
        <v>2.0</v>
      </c>
      <c r="U12" s="115">
        <v>0.0</v>
      </c>
      <c r="V12" s="115">
        <v>0.0</v>
      </c>
      <c r="W12" s="115">
        <v>0.0</v>
      </c>
      <c r="X12" s="115">
        <v>0.0</v>
      </c>
      <c r="Y12" s="115">
        <v>0.0</v>
      </c>
      <c r="Z12" s="115">
        <v>0.0</v>
      </c>
      <c r="AA12" s="116">
        <v>79450.83</v>
      </c>
      <c r="AB12" s="115">
        <v>61.45398773</v>
      </c>
      <c r="AC12" s="115">
        <v>0.0</v>
      </c>
      <c r="AD12" s="116">
        <v>44327.38</v>
      </c>
      <c r="AE12" s="115">
        <v>53.81020953</v>
      </c>
      <c r="AF12" s="115">
        <v>0.0</v>
      </c>
      <c r="AG12" s="116">
        <v>76355.61</v>
      </c>
      <c r="AH12" s="115">
        <v>13.66</v>
      </c>
      <c r="AI12" s="115">
        <v>0.0</v>
      </c>
      <c r="AJ12" s="116">
        <v>15910.35</v>
      </c>
      <c r="AK12" s="116">
        <v>180564.7</v>
      </c>
      <c r="AL12" s="116">
        <v>44714.0</v>
      </c>
      <c r="AM12" s="116">
        <v>1670296.7</v>
      </c>
      <c r="AN12" s="116">
        <v>47433.48</v>
      </c>
      <c r="AO12" s="116">
        <v>44714.0</v>
      </c>
      <c r="AP12" s="116">
        <v>300866.24</v>
      </c>
      <c r="AQ12" s="116">
        <v>1372149.94</v>
      </c>
      <c r="AR12" s="116">
        <v>190.0</v>
      </c>
      <c r="AS12" s="116">
        <v>7221.841789</v>
      </c>
      <c r="AT12" s="116">
        <v>7221.841789</v>
      </c>
      <c r="AU12" s="116">
        <v>1364928.098</v>
      </c>
      <c r="AV12" s="116">
        <v>44714.0</v>
      </c>
      <c r="AW12" s="116">
        <v>180564.7</v>
      </c>
      <c r="AX12" s="116">
        <v>1590206.8</v>
      </c>
      <c r="AY12" s="116">
        <v>8690.14</v>
      </c>
      <c r="AZ12" s="116">
        <v>1590206.8</v>
      </c>
      <c r="BA12" s="116">
        <v>2271.78</v>
      </c>
      <c r="BB12" s="117">
        <v>5285.04</v>
      </c>
      <c r="BC12" s="116">
        <v>638.82</v>
      </c>
      <c r="BD12" s="116">
        <v>570.78</v>
      </c>
      <c r="BE12" s="116">
        <v>1663.2</v>
      </c>
      <c r="BF12" s="116">
        <v>4932.9</v>
      </c>
      <c r="BG12" s="116">
        <v>15362.52</v>
      </c>
      <c r="BH12" s="118">
        <v>190.0</v>
      </c>
      <c r="BI12" s="118">
        <v>955268.7</v>
      </c>
      <c r="BJ12" s="118">
        <v>0.0</v>
      </c>
      <c r="BK12" s="118">
        <v>0.0</v>
      </c>
      <c r="BL12" s="118">
        <v>48075.78</v>
      </c>
      <c r="BM12" s="118">
        <v>104205.67</v>
      </c>
      <c r="BN12" s="118">
        <v>2250.41</v>
      </c>
      <c r="BO12" s="118">
        <v>22857.12</v>
      </c>
      <c r="BP12" s="118">
        <v>9588.19</v>
      </c>
      <c r="BQ12" s="118">
        <v>12903.97</v>
      </c>
      <c r="BR12" s="118">
        <v>31745.06</v>
      </c>
      <c r="BS12" s="118">
        <v>819.96</v>
      </c>
      <c r="BT12" s="118">
        <v>50019.63</v>
      </c>
      <c r="BU12" s="118">
        <v>79000.24</v>
      </c>
      <c r="BV12" s="118">
        <v>16687.36</v>
      </c>
      <c r="BW12" s="118">
        <v>292160.88</v>
      </c>
      <c r="BX12" s="118">
        <v>44714.0</v>
      </c>
      <c r="BY12" s="118">
        <v>0.0</v>
      </c>
      <c r="BZ12" s="118">
        <v>1670296.97</v>
      </c>
      <c r="CA12" s="118">
        <v>25878.0</v>
      </c>
      <c r="CB12" s="118">
        <v>0.0</v>
      </c>
      <c r="CC12" s="118">
        <v>0.0</v>
      </c>
      <c r="CD12" s="118">
        <v>10813.24</v>
      </c>
      <c r="CE12" s="118">
        <v>4500.78</v>
      </c>
      <c r="CF12" s="117">
        <v>0.0</v>
      </c>
      <c r="CG12" s="119">
        <v>41192.02</v>
      </c>
      <c r="CH12" s="119"/>
      <c r="CI12" s="119">
        <v>8875.0</v>
      </c>
      <c r="CJ12" s="119">
        <v>0.0</v>
      </c>
      <c r="CK12" s="116">
        <v>7.28</v>
      </c>
      <c r="CL12" s="116">
        <v>0.19</v>
      </c>
      <c r="CM12" s="116">
        <v>0.0</v>
      </c>
      <c r="CN12" s="116">
        <v>0.68</v>
      </c>
      <c r="CO12" s="116">
        <v>8.15</v>
      </c>
      <c r="CP12" s="120">
        <v>17.0</v>
      </c>
      <c r="CQ12" s="120">
        <v>6.0</v>
      </c>
      <c r="CR12" s="120">
        <v>0.0</v>
      </c>
      <c r="CS12" s="120">
        <v>0.0</v>
      </c>
      <c r="CT12" s="120">
        <v>8.0</v>
      </c>
      <c r="CU12" s="120">
        <v>1.0</v>
      </c>
      <c r="CV12" s="120">
        <v>0.0</v>
      </c>
      <c r="CW12" s="120">
        <v>0.0</v>
      </c>
      <c r="CX12" s="120">
        <v>11.0</v>
      </c>
      <c r="CY12" s="120">
        <v>4.0</v>
      </c>
      <c r="CZ12" s="120">
        <v>0.0</v>
      </c>
      <c r="DA12" s="120">
        <v>0.0</v>
      </c>
      <c r="DB12" s="120">
        <v>0.0</v>
      </c>
      <c r="DC12" s="120">
        <v>0.0</v>
      </c>
      <c r="DD12" s="120">
        <v>0.0</v>
      </c>
      <c r="DE12" s="121"/>
      <c r="DF12" s="122"/>
      <c r="DG12" s="122"/>
      <c r="DH12" s="122"/>
      <c r="DI12" s="122"/>
      <c r="DJ12" s="122"/>
      <c r="DK12" s="122"/>
      <c r="DL12" s="122"/>
      <c r="DM12" s="122"/>
      <c r="DN12" s="122"/>
      <c r="DO12" s="122"/>
      <c r="DP12" s="122"/>
    </row>
    <row r="13">
      <c r="A13" s="115">
        <v>2042533.0</v>
      </c>
      <c r="B13" s="115" t="s">
        <v>389</v>
      </c>
      <c r="C13" s="115" t="s">
        <v>379</v>
      </c>
      <c r="D13" s="115" t="s">
        <v>17</v>
      </c>
      <c r="E13" s="115">
        <v>411.0</v>
      </c>
      <c r="F13" s="115">
        <v>0.0</v>
      </c>
      <c r="G13" s="115">
        <v>0.0</v>
      </c>
      <c r="H13" s="116">
        <v>2101508.76</v>
      </c>
      <c r="I13" s="115">
        <v>99.0</v>
      </c>
      <c r="J13" s="115">
        <v>0.0</v>
      </c>
      <c r="K13" s="116">
        <v>59117.85</v>
      </c>
      <c r="L13" s="115">
        <v>99.0</v>
      </c>
      <c r="M13" s="115">
        <v>0.0</v>
      </c>
      <c r="N13" s="116">
        <v>141649.2</v>
      </c>
      <c r="O13" s="115">
        <v>191.0</v>
      </c>
      <c r="P13" s="115">
        <v>43.0</v>
      </c>
      <c r="Q13" s="115">
        <v>54.0</v>
      </c>
      <c r="R13" s="115">
        <v>21.0</v>
      </c>
      <c r="S13" s="115">
        <v>17.0</v>
      </c>
      <c r="T13" s="115">
        <v>3.0</v>
      </c>
      <c r="U13" s="115">
        <v>0.0</v>
      </c>
      <c r="V13" s="115">
        <v>0.0</v>
      </c>
      <c r="W13" s="115">
        <v>0.0</v>
      </c>
      <c r="X13" s="115">
        <v>0.0</v>
      </c>
      <c r="Y13" s="115">
        <v>0.0</v>
      </c>
      <c r="Z13" s="115">
        <v>0.0</v>
      </c>
      <c r="AA13" s="116">
        <v>123558.31</v>
      </c>
      <c r="AB13" s="115">
        <v>34.85087719</v>
      </c>
      <c r="AC13" s="115">
        <v>0.0</v>
      </c>
      <c r="AD13" s="116">
        <v>25138.29</v>
      </c>
      <c r="AE13" s="115">
        <v>139.3345481</v>
      </c>
      <c r="AF13" s="115">
        <v>0.0</v>
      </c>
      <c r="AG13" s="116">
        <v>197712.94</v>
      </c>
      <c r="AH13" s="115">
        <v>0.0</v>
      </c>
      <c r="AI13" s="115">
        <v>0.0</v>
      </c>
      <c r="AJ13" s="116">
        <v>0.0</v>
      </c>
      <c r="AK13" s="116">
        <v>180564.7</v>
      </c>
      <c r="AL13" s="116">
        <v>52355.0</v>
      </c>
      <c r="AM13" s="116">
        <v>2878202.58</v>
      </c>
      <c r="AN13" s="116">
        <v>82498.11</v>
      </c>
      <c r="AO13" s="116">
        <v>52355.0</v>
      </c>
      <c r="AP13" s="116">
        <v>180564.7</v>
      </c>
      <c r="AQ13" s="116">
        <v>2727780.99</v>
      </c>
      <c r="AR13" s="116">
        <v>407.0</v>
      </c>
      <c r="AS13" s="116">
        <v>6702.164595</v>
      </c>
      <c r="AT13" s="116">
        <v>6702.164595</v>
      </c>
      <c r="AU13" s="116">
        <v>2754589.648</v>
      </c>
      <c r="AV13" s="116">
        <v>52355.0</v>
      </c>
      <c r="AW13" s="116">
        <v>180564.7</v>
      </c>
      <c r="AX13" s="116">
        <v>2987509.35</v>
      </c>
      <c r="AY13" s="116">
        <v>105904.31</v>
      </c>
      <c r="AZ13" s="116">
        <v>2987509.35</v>
      </c>
      <c r="BA13" s="116">
        <v>4940.22</v>
      </c>
      <c r="BB13" s="117">
        <v>2997.18</v>
      </c>
      <c r="BC13" s="116">
        <v>1389.18</v>
      </c>
      <c r="BD13" s="116">
        <v>1241.22</v>
      </c>
      <c r="BE13" s="116">
        <v>3616.8</v>
      </c>
      <c r="BF13" s="116">
        <v>10727.1</v>
      </c>
      <c r="BG13" s="116">
        <v>24911.7</v>
      </c>
      <c r="BH13" s="118">
        <v>407.0</v>
      </c>
      <c r="BI13" s="118">
        <v>2046286.1099999999</v>
      </c>
      <c r="BJ13" s="118">
        <v>0.0</v>
      </c>
      <c r="BK13" s="118">
        <v>0.0</v>
      </c>
      <c r="BL13" s="118">
        <v>52179.81</v>
      </c>
      <c r="BM13" s="118">
        <v>111738.61</v>
      </c>
      <c r="BN13" s="118">
        <v>57616.38</v>
      </c>
      <c r="BO13" s="118">
        <v>13839.96</v>
      </c>
      <c r="BP13" s="118">
        <v>25299.36</v>
      </c>
      <c r="BQ13" s="118">
        <v>11607.4</v>
      </c>
      <c r="BR13" s="118">
        <v>8006.7</v>
      </c>
      <c r="BS13" s="118">
        <v>811.33</v>
      </c>
      <c r="BT13" s="118">
        <v>32708.13</v>
      </c>
      <c r="BU13" s="118">
        <v>185439.2</v>
      </c>
      <c r="BV13" s="118">
        <v>0.0</v>
      </c>
      <c r="BW13" s="118">
        <v>171859.34</v>
      </c>
      <c r="BX13" s="118">
        <v>52355.0</v>
      </c>
      <c r="BY13" s="118">
        <v>108455.26</v>
      </c>
      <c r="BZ13" s="118">
        <v>2878202.58</v>
      </c>
      <c r="CA13" s="118">
        <v>55433.40000000001</v>
      </c>
      <c r="CB13" s="118">
        <v>0.0</v>
      </c>
      <c r="CC13" s="118">
        <v>0.0</v>
      </c>
      <c r="CD13" s="118">
        <v>11594.92</v>
      </c>
      <c r="CE13" s="118">
        <v>4500.78</v>
      </c>
      <c r="CF13" s="117">
        <v>0.0</v>
      </c>
      <c r="CG13" s="119">
        <v>71529.1</v>
      </c>
      <c r="CH13" s="119"/>
      <c r="CI13" s="119">
        <v>9720.0</v>
      </c>
      <c r="CJ13" s="119">
        <v>0.0</v>
      </c>
      <c r="CK13" s="116">
        <v>7.28</v>
      </c>
      <c r="CL13" s="116">
        <v>0.16</v>
      </c>
      <c r="CM13" s="116">
        <v>0.28</v>
      </c>
      <c r="CN13" s="116">
        <v>0.68</v>
      </c>
      <c r="CO13" s="116">
        <v>8.4</v>
      </c>
      <c r="CP13" s="120">
        <v>21.0</v>
      </c>
      <c r="CQ13" s="120">
        <v>31.0</v>
      </c>
      <c r="CR13" s="120">
        <v>0.0</v>
      </c>
      <c r="CS13" s="120">
        <v>0.0</v>
      </c>
      <c r="CT13" s="120">
        <v>15.0</v>
      </c>
      <c r="CU13" s="120">
        <v>19.0</v>
      </c>
      <c r="CV13" s="120">
        <v>0.0</v>
      </c>
      <c r="CW13" s="120">
        <v>0.0</v>
      </c>
      <c r="CX13" s="120">
        <v>20.0</v>
      </c>
      <c r="CY13" s="120">
        <v>28.0</v>
      </c>
      <c r="CZ13" s="120">
        <v>0.0</v>
      </c>
      <c r="DA13" s="120">
        <v>0.0</v>
      </c>
      <c r="DB13" s="120">
        <v>11.0</v>
      </c>
      <c r="DC13" s="120">
        <v>5.0</v>
      </c>
      <c r="DD13" s="120">
        <v>11.0</v>
      </c>
      <c r="DE13" s="121"/>
      <c r="DF13" s="122"/>
      <c r="DG13" s="122"/>
      <c r="DH13" s="122"/>
      <c r="DI13" s="122"/>
      <c r="DJ13" s="122"/>
      <c r="DK13" s="122"/>
      <c r="DL13" s="122"/>
      <c r="DM13" s="122"/>
      <c r="DN13" s="122"/>
      <c r="DO13" s="122"/>
      <c r="DP13" s="122"/>
    </row>
    <row r="14">
      <c r="A14" s="115">
        <v>2042534.0</v>
      </c>
      <c r="B14" s="115" t="s">
        <v>390</v>
      </c>
      <c r="C14" s="115" t="s">
        <v>379</v>
      </c>
      <c r="D14" s="115" t="s">
        <v>17</v>
      </c>
      <c r="E14" s="115">
        <v>460.0</v>
      </c>
      <c r="F14" s="115">
        <v>0.0</v>
      </c>
      <c r="G14" s="115">
        <v>0.0</v>
      </c>
      <c r="H14" s="116">
        <v>2352053.6</v>
      </c>
      <c r="I14" s="115">
        <v>103.0</v>
      </c>
      <c r="J14" s="115">
        <v>0.0</v>
      </c>
      <c r="K14" s="116">
        <v>61506.45</v>
      </c>
      <c r="L14" s="115">
        <v>104.0</v>
      </c>
      <c r="M14" s="115">
        <v>0.0</v>
      </c>
      <c r="N14" s="116">
        <v>148803.2</v>
      </c>
      <c r="O14" s="115">
        <v>168.0</v>
      </c>
      <c r="P14" s="115">
        <v>157.0</v>
      </c>
      <c r="Q14" s="115">
        <v>81.0</v>
      </c>
      <c r="R14" s="115">
        <v>10.0</v>
      </c>
      <c r="S14" s="115">
        <v>32.0</v>
      </c>
      <c r="T14" s="115">
        <v>1.0</v>
      </c>
      <c r="U14" s="115">
        <v>0.0</v>
      </c>
      <c r="V14" s="115">
        <v>0.0</v>
      </c>
      <c r="W14" s="115">
        <v>0.0</v>
      </c>
      <c r="X14" s="115">
        <v>0.0</v>
      </c>
      <c r="Y14" s="115">
        <v>0.0</v>
      </c>
      <c r="Z14" s="115">
        <v>0.0</v>
      </c>
      <c r="AA14" s="116">
        <v>171892.13</v>
      </c>
      <c r="AB14" s="115">
        <v>62.1</v>
      </c>
      <c r="AC14" s="115">
        <v>0.0</v>
      </c>
      <c r="AD14" s="116">
        <v>44793.35</v>
      </c>
      <c r="AE14" s="115">
        <v>85.01014299</v>
      </c>
      <c r="AF14" s="115">
        <v>0.0</v>
      </c>
      <c r="AG14" s="116">
        <v>120627.69</v>
      </c>
      <c r="AH14" s="115">
        <v>0.0</v>
      </c>
      <c r="AI14" s="115">
        <v>0.0</v>
      </c>
      <c r="AJ14" s="116">
        <v>0.0</v>
      </c>
      <c r="AK14" s="116">
        <v>180564.7</v>
      </c>
      <c r="AL14" s="116">
        <v>71316.0</v>
      </c>
      <c r="AM14" s="116">
        <v>3327238.8</v>
      </c>
      <c r="AN14" s="116">
        <v>96315.5</v>
      </c>
      <c r="AO14" s="116">
        <v>71316.0</v>
      </c>
      <c r="AP14" s="116">
        <v>180564.7</v>
      </c>
      <c r="AQ14" s="116">
        <v>3171673.6</v>
      </c>
      <c r="AR14" s="116">
        <v>477.0</v>
      </c>
      <c r="AS14" s="116">
        <v>6649.210901</v>
      </c>
      <c r="AT14" s="116">
        <v>6649.210901</v>
      </c>
      <c r="AU14" s="116">
        <v>3058637.015</v>
      </c>
      <c r="AV14" s="116">
        <v>71316.0</v>
      </c>
      <c r="AW14" s="116">
        <v>180564.7</v>
      </c>
      <c r="AX14" s="116">
        <v>3310517.71</v>
      </c>
      <c r="AY14" s="116">
        <v>158960.59</v>
      </c>
      <c r="AZ14" s="116">
        <v>3310517.71</v>
      </c>
      <c r="BA14" s="116">
        <v>5529.2</v>
      </c>
      <c r="BB14" s="117">
        <v>5340.6</v>
      </c>
      <c r="BC14" s="116">
        <v>1554.8</v>
      </c>
      <c r="BD14" s="116">
        <v>1389.2</v>
      </c>
      <c r="BE14" s="116">
        <v>4048.0</v>
      </c>
      <c r="BF14" s="116">
        <v>12006.0</v>
      </c>
      <c r="BG14" s="116">
        <v>29867.8</v>
      </c>
      <c r="BH14" s="118">
        <v>477.0</v>
      </c>
      <c r="BI14" s="118">
        <v>2398227.21</v>
      </c>
      <c r="BJ14" s="118">
        <v>0.0</v>
      </c>
      <c r="BK14" s="118">
        <v>0.0</v>
      </c>
      <c r="BL14" s="118">
        <v>62146.74</v>
      </c>
      <c r="BM14" s="118">
        <v>135592.92</v>
      </c>
      <c r="BN14" s="118">
        <v>47317.8</v>
      </c>
      <c r="BO14" s="118">
        <v>54684.72</v>
      </c>
      <c r="BP14" s="118">
        <v>45328.02</v>
      </c>
      <c r="BQ14" s="118">
        <v>7544.81</v>
      </c>
      <c r="BR14" s="118">
        <v>23404.2</v>
      </c>
      <c r="BS14" s="118">
        <v>0.0</v>
      </c>
      <c r="BT14" s="118">
        <v>43531.02</v>
      </c>
      <c r="BU14" s="118">
        <v>105330.02</v>
      </c>
      <c r="BV14" s="118">
        <v>0.0</v>
      </c>
      <c r="BW14" s="118">
        <v>171859.34</v>
      </c>
      <c r="BX14" s="118">
        <v>71316.0</v>
      </c>
      <c r="BY14" s="118">
        <v>160956.0</v>
      </c>
      <c r="BZ14" s="118">
        <v>3327238.8</v>
      </c>
      <c r="CA14" s="118">
        <v>64967.4</v>
      </c>
      <c r="CB14" s="118">
        <v>0.0</v>
      </c>
      <c r="CC14" s="118">
        <v>0.0</v>
      </c>
      <c r="CD14" s="118">
        <v>14070.24</v>
      </c>
      <c r="CE14" s="118">
        <v>4500.78</v>
      </c>
      <c r="CF14" s="117">
        <v>0.0</v>
      </c>
      <c r="CG14" s="119">
        <v>83538.42</v>
      </c>
      <c r="CH14" s="119"/>
      <c r="CI14" s="119">
        <v>10080.0</v>
      </c>
      <c r="CJ14" s="119">
        <v>0.0</v>
      </c>
      <c r="CK14" s="116">
        <v>7.28</v>
      </c>
      <c r="CL14" s="116">
        <v>0.17</v>
      </c>
      <c r="CM14" s="116">
        <v>0.23</v>
      </c>
      <c r="CN14" s="116">
        <v>0.68</v>
      </c>
      <c r="CO14" s="116">
        <v>8.36</v>
      </c>
      <c r="CP14" s="120">
        <v>30.0</v>
      </c>
      <c r="CQ14" s="120">
        <v>32.0</v>
      </c>
      <c r="CR14" s="120">
        <v>0.0</v>
      </c>
      <c r="CS14" s="120">
        <v>0.0</v>
      </c>
      <c r="CT14" s="120">
        <v>22.0</v>
      </c>
      <c r="CU14" s="120">
        <v>22.0</v>
      </c>
      <c r="CV14" s="120">
        <v>0.0</v>
      </c>
      <c r="CW14" s="120">
        <v>0.0</v>
      </c>
      <c r="CX14" s="120">
        <v>29.0</v>
      </c>
      <c r="CY14" s="120">
        <v>29.0</v>
      </c>
      <c r="CZ14" s="120">
        <v>0.0</v>
      </c>
      <c r="DA14" s="120">
        <v>0.0</v>
      </c>
      <c r="DB14" s="120">
        <v>5.0</v>
      </c>
      <c r="DC14" s="120">
        <v>5.0</v>
      </c>
      <c r="DD14" s="120">
        <v>5.0</v>
      </c>
      <c r="DE14" s="121"/>
      <c r="DF14" s="122"/>
      <c r="DG14" s="122"/>
      <c r="DH14" s="122"/>
      <c r="DI14" s="122"/>
      <c r="DJ14" s="122"/>
      <c r="DK14" s="122"/>
      <c r="DL14" s="122"/>
      <c r="DM14" s="122"/>
      <c r="DN14" s="122"/>
      <c r="DO14" s="122"/>
      <c r="DP14" s="122"/>
    </row>
    <row r="15">
      <c r="A15" s="115">
        <v>2042539.0</v>
      </c>
      <c r="B15" s="115" t="s">
        <v>391</v>
      </c>
      <c r="C15" s="115" t="s">
        <v>379</v>
      </c>
      <c r="D15" s="115" t="s">
        <v>17</v>
      </c>
      <c r="E15" s="115">
        <v>396.0</v>
      </c>
      <c r="F15" s="115">
        <v>0.0</v>
      </c>
      <c r="G15" s="115">
        <v>0.0</v>
      </c>
      <c r="H15" s="116">
        <v>2024811.36</v>
      </c>
      <c r="I15" s="115">
        <v>174.0</v>
      </c>
      <c r="J15" s="115">
        <v>0.0</v>
      </c>
      <c r="K15" s="116">
        <v>103904.1</v>
      </c>
      <c r="L15" s="115">
        <v>177.0</v>
      </c>
      <c r="M15" s="115">
        <v>0.0</v>
      </c>
      <c r="N15" s="116">
        <v>253251.6</v>
      </c>
      <c r="O15" s="115">
        <v>12.03037975</v>
      </c>
      <c r="P15" s="115">
        <v>53.13417722</v>
      </c>
      <c r="Q15" s="115">
        <v>173.4379747</v>
      </c>
      <c r="R15" s="115">
        <v>45.11392405</v>
      </c>
      <c r="S15" s="115">
        <v>104.2632911</v>
      </c>
      <c r="T15" s="115">
        <v>0.0</v>
      </c>
      <c r="U15" s="115">
        <v>0.0</v>
      </c>
      <c r="V15" s="115">
        <v>0.0</v>
      </c>
      <c r="W15" s="115">
        <v>0.0</v>
      </c>
      <c r="X15" s="115">
        <v>0.0</v>
      </c>
      <c r="Y15" s="115">
        <v>0.0</v>
      </c>
      <c r="Z15" s="115">
        <v>0.0</v>
      </c>
      <c r="AA15" s="116">
        <v>206965.83</v>
      </c>
      <c r="AB15" s="115">
        <v>58.92857143</v>
      </c>
      <c r="AC15" s="115">
        <v>0.0</v>
      </c>
      <c r="AD15" s="116">
        <v>42505.77</v>
      </c>
      <c r="AE15" s="115">
        <v>93.51794906</v>
      </c>
      <c r="AF15" s="115">
        <v>0.0</v>
      </c>
      <c r="AG15" s="116">
        <v>132700.1</v>
      </c>
      <c r="AH15" s="115">
        <v>0.24</v>
      </c>
      <c r="AI15" s="115">
        <v>0.0</v>
      </c>
      <c r="AJ15" s="116">
        <v>279.54</v>
      </c>
      <c r="AK15" s="116">
        <v>180564.7</v>
      </c>
      <c r="AL15" s="116">
        <v>50091.0</v>
      </c>
      <c r="AM15" s="116">
        <v>2981536.7</v>
      </c>
      <c r="AN15" s="116">
        <v>96512.12</v>
      </c>
      <c r="AO15" s="116">
        <v>50091.0</v>
      </c>
      <c r="AP15" s="116">
        <v>180564.7</v>
      </c>
      <c r="AQ15" s="116">
        <v>2847393.12</v>
      </c>
      <c r="AR15" s="116">
        <v>399.0</v>
      </c>
      <c r="AS15" s="116">
        <v>7136.323609</v>
      </c>
      <c r="AT15" s="116">
        <v>7136.323609</v>
      </c>
      <c r="AU15" s="116">
        <v>2825984.149</v>
      </c>
      <c r="AV15" s="116">
        <v>50091.0</v>
      </c>
      <c r="AW15" s="116">
        <v>180564.7</v>
      </c>
      <c r="AX15" s="116">
        <v>3056639.85</v>
      </c>
      <c r="AY15" s="116">
        <v>61565.85</v>
      </c>
      <c r="AZ15" s="116">
        <v>3056639.85</v>
      </c>
      <c r="BA15" s="116">
        <v>4759.92</v>
      </c>
      <c r="BB15" s="117">
        <v>5067.86</v>
      </c>
      <c r="BC15" s="116">
        <v>1338.48</v>
      </c>
      <c r="BD15" s="116">
        <v>1195.92</v>
      </c>
      <c r="BE15" s="116">
        <v>3484.8</v>
      </c>
      <c r="BF15" s="116">
        <v>10335.6</v>
      </c>
      <c r="BG15" s="116">
        <v>26182.58</v>
      </c>
      <c r="BH15" s="118">
        <v>399.0</v>
      </c>
      <c r="BI15" s="118">
        <v>2006064.2699999998</v>
      </c>
      <c r="BJ15" s="118">
        <v>0.0</v>
      </c>
      <c r="BK15" s="118">
        <v>0.0</v>
      </c>
      <c r="BL15" s="118">
        <v>112567.68</v>
      </c>
      <c r="BM15" s="118">
        <v>242309.57</v>
      </c>
      <c r="BN15" s="118">
        <v>3906.55</v>
      </c>
      <c r="BO15" s="118">
        <v>16920.41</v>
      </c>
      <c r="BP15" s="118">
        <v>101980.1</v>
      </c>
      <c r="BQ15" s="118">
        <v>19200.33</v>
      </c>
      <c r="BR15" s="118">
        <v>61744.75</v>
      </c>
      <c r="BS15" s="118">
        <v>0.0</v>
      </c>
      <c r="BT15" s="118">
        <v>55917.92</v>
      </c>
      <c r="BU15" s="118">
        <v>115021.46</v>
      </c>
      <c r="BV15" s="118">
        <v>3497.49</v>
      </c>
      <c r="BW15" s="118">
        <v>171859.34</v>
      </c>
      <c r="BX15" s="118">
        <v>50091.0</v>
      </c>
      <c r="BY15" s="118">
        <v>20455.82</v>
      </c>
      <c r="BZ15" s="118">
        <v>2981536.69</v>
      </c>
      <c r="CA15" s="118">
        <v>54343.8</v>
      </c>
      <c r="CB15" s="118">
        <v>0.0</v>
      </c>
      <c r="CC15" s="118">
        <v>0.0</v>
      </c>
      <c r="CD15" s="118">
        <v>25144.04</v>
      </c>
      <c r="CE15" s="118">
        <v>4500.78</v>
      </c>
      <c r="CF15" s="117">
        <v>12.0</v>
      </c>
      <c r="CG15" s="119">
        <v>83988.62</v>
      </c>
      <c r="CH15" s="119"/>
      <c r="CI15" s="119">
        <v>9750.0</v>
      </c>
      <c r="CJ15" s="116">
        <v>7000.0</v>
      </c>
      <c r="CK15" s="116">
        <v>7.28</v>
      </c>
      <c r="CL15" s="116">
        <v>0.2</v>
      </c>
      <c r="CM15" s="116">
        <v>0.17</v>
      </c>
      <c r="CN15" s="116">
        <v>0.68</v>
      </c>
      <c r="CO15" s="116">
        <v>8.33</v>
      </c>
      <c r="CP15" s="120">
        <v>26.0</v>
      </c>
      <c r="CQ15" s="120">
        <v>18.0</v>
      </c>
      <c r="CR15" s="120">
        <v>0.0</v>
      </c>
      <c r="CS15" s="120">
        <v>0.0</v>
      </c>
      <c r="CT15" s="120">
        <v>12.0</v>
      </c>
      <c r="CU15" s="120">
        <v>11.0</v>
      </c>
      <c r="CV15" s="120">
        <v>0.0</v>
      </c>
      <c r="CW15" s="120">
        <v>0.0</v>
      </c>
      <c r="CX15" s="120">
        <v>26.0</v>
      </c>
      <c r="CY15" s="120">
        <v>18.0</v>
      </c>
      <c r="CZ15" s="120">
        <v>0.0</v>
      </c>
      <c r="DA15" s="120">
        <v>0.0</v>
      </c>
      <c r="DB15" s="120">
        <v>7.0</v>
      </c>
      <c r="DC15" s="120">
        <v>2.0</v>
      </c>
      <c r="DD15" s="120">
        <v>7.0</v>
      </c>
      <c r="DE15" s="121"/>
      <c r="DF15" s="122"/>
      <c r="DG15" s="122"/>
      <c r="DH15" s="122"/>
      <c r="DI15" s="122"/>
      <c r="DJ15" s="122"/>
      <c r="DK15" s="122"/>
      <c r="DL15" s="122"/>
      <c r="DM15" s="122"/>
      <c r="DN15" s="122"/>
      <c r="DO15" s="122"/>
      <c r="DP15" s="122"/>
    </row>
    <row r="16">
      <c r="A16" s="115">
        <v>2042545.0</v>
      </c>
      <c r="B16" s="115" t="s">
        <v>392</v>
      </c>
      <c r="C16" s="115" t="s">
        <v>379</v>
      </c>
      <c r="D16" s="115" t="s">
        <v>17</v>
      </c>
      <c r="E16" s="115">
        <v>398.0</v>
      </c>
      <c r="F16" s="115">
        <v>0.0</v>
      </c>
      <c r="G16" s="115">
        <v>0.0</v>
      </c>
      <c r="H16" s="116">
        <v>2035037.68</v>
      </c>
      <c r="I16" s="115">
        <v>137.0</v>
      </c>
      <c r="J16" s="115">
        <v>0.0</v>
      </c>
      <c r="K16" s="116">
        <v>81809.55</v>
      </c>
      <c r="L16" s="115">
        <v>138.0</v>
      </c>
      <c r="M16" s="115">
        <v>0.0</v>
      </c>
      <c r="N16" s="116">
        <v>197450.4</v>
      </c>
      <c r="O16" s="115">
        <v>32.0</v>
      </c>
      <c r="P16" s="115">
        <v>110.0</v>
      </c>
      <c r="Q16" s="115">
        <v>36.0</v>
      </c>
      <c r="R16" s="115">
        <v>66.0</v>
      </c>
      <c r="S16" s="115">
        <v>118.0</v>
      </c>
      <c r="T16" s="115">
        <v>0.0</v>
      </c>
      <c r="U16" s="115">
        <v>0.0</v>
      </c>
      <c r="V16" s="115">
        <v>0.0</v>
      </c>
      <c r="W16" s="115">
        <v>0.0</v>
      </c>
      <c r="X16" s="115">
        <v>0.0</v>
      </c>
      <c r="Y16" s="115">
        <v>0.0</v>
      </c>
      <c r="Z16" s="115">
        <v>0.0</v>
      </c>
      <c r="AA16" s="116">
        <v>179145.5</v>
      </c>
      <c r="AB16" s="115">
        <v>52.21574344</v>
      </c>
      <c r="AC16" s="115">
        <v>0.0</v>
      </c>
      <c r="AD16" s="116">
        <v>37663.74</v>
      </c>
      <c r="AE16" s="115">
        <v>67.10814442</v>
      </c>
      <c r="AF16" s="115">
        <v>0.0</v>
      </c>
      <c r="AG16" s="116">
        <v>95225.11</v>
      </c>
      <c r="AH16" s="115">
        <v>0.0</v>
      </c>
      <c r="AI16" s="115">
        <v>0.0</v>
      </c>
      <c r="AJ16" s="116">
        <v>0.0</v>
      </c>
      <c r="AK16" s="116">
        <v>180564.7</v>
      </c>
      <c r="AL16" s="116">
        <v>50657.0</v>
      </c>
      <c r="AM16" s="116">
        <v>2976941.15</v>
      </c>
      <c r="AN16" s="116">
        <v>90954.84</v>
      </c>
      <c r="AO16" s="116">
        <v>50657.0</v>
      </c>
      <c r="AP16" s="116">
        <v>180564.7</v>
      </c>
      <c r="AQ16" s="116">
        <v>2836674.29</v>
      </c>
      <c r="AR16" s="116">
        <v>415.0</v>
      </c>
      <c r="AS16" s="116">
        <v>6835.359735</v>
      </c>
      <c r="AT16" s="116">
        <v>6835.359735</v>
      </c>
      <c r="AU16" s="116">
        <v>2720473.175</v>
      </c>
      <c r="AV16" s="116">
        <v>50657.0</v>
      </c>
      <c r="AW16" s="116">
        <v>180564.7</v>
      </c>
      <c r="AX16" s="116">
        <v>2951694.87</v>
      </c>
      <c r="AY16" s="116">
        <v>94141.19</v>
      </c>
      <c r="AZ16" s="116">
        <v>2951694.87</v>
      </c>
      <c r="BA16" s="116">
        <v>4783.96</v>
      </c>
      <c r="BB16" s="117">
        <v>4490.55</v>
      </c>
      <c r="BC16" s="116">
        <v>1345.24</v>
      </c>
      <c r="BD16" s="116">
        <v>1201.96</v>
      </c>
      <c r="BE16" s="116">
        <v>3502.4</v>
      </c>
      <c r="BF16" s="116">
        <v>10387.8</v>
      </c>
      <c r="BG16" s="116">
        <v>25711.91</v>
      </c>
      <c r="BH16" s="118">
        <v>415.0</v>
      </c>
      <c r="BI16" s="118">
        <v>2086507.9499999997</v>
      </c>
      <c r="BJ16" s="118">
        <v>0.0</v>
      </c>
      <c r="BK16" s="118">
        <v>0.0</v>
      </c>
      <c r="BL16" s="118">
        <v>80321.73</v>
      </c>
      <c r="BM16" s="118">
        <v>173257.62</v>
      </c>
      <c r="BN16" s="118">
        <v>10298.58</v>
      </c>
      <c r="BO16" s="118">
        <v>34768.68</v>
      </c>
      <c r="BP16" s="118">
        <v>23718.15</v>
      </c>
      <c r="BQ16" s="118">
        <v>40045.53</v>
      </c>
      <c r="BR16" s="118">
        <v>78835.2</v>
      </c>
      <c r="BS16" s="118">
        <v>0.0</v>
      </c>
      <c r="BT16" s="118">
        <v>44238.09</v>
      </c>
      <c r="BU16" s="118">
        <v>100765.96</v>
      </c>
      <c r="BV16" s="118">
        <v>3620.51</v>
      </c>
      <c r="BW16" s="118">
        <v>171859.34</v>
      </c>
      <c r="BX16" s="118">
        <v>50657.0</v>
      </c>
      <c r="BY16" s="118">
        <v>78046.8</v>
      </c>
      <c r="BZ16" s="118">
        <v>2976941.15</v>
      </c>
      <c r="CA16" s="118">
        <v>56523.0</v>
      </c>
      <c r="CB16" s="118">
        <v>0.0</v>
      </c>
      <c r="CC16" s="118">
        <v>0.0</v>
      </c>
      <c r="CD16" s="118">
        <v>17978.64</v>
      </c>
      <c r="CE16" s="118">
        <v>4500.78</v>
      </c>
      <c r="CF16" s="117">
        <v>0.0</v>
      </c>
      <c r="CG16" s="119">
        <v>79002.42</v>
      </c>
      <c r="CH16" s="119"/>
      <c r="CI16" s="119">
        <v>9775.0</v>
      </c>
      <c r="CJ16" s="119">
        <v>0.0</v>
      </c>
      <c r="CK16" s="116">
        <v>7.28</v>
      </c>
      <c r="CL16" s="116">
        <v>0.21</v>
      </c>
      <c r="CM16" s="116">
        <v>0.55</v>
      </c>
      <c r="CN16" s="116">
        <v>0.68</v>
      </c>
      <c r="CO16" s="116">
        <v>8.72</v>
      </c>
      <c r="CP16" s="120">
        <v>36.0</v>
      </c>
      <c r="CQ16" s="120">
        <v>15.0</v>
      </c>
      <c r="CR16" s="120">
        <v>8.0</v>
      </c>
      <c r="CS16" s="120">
        <v>4.0</v>
      </c>
      <c r="CT16" s="120">
        <v>26.0</v>
      </c>
      <c r="CU16" s="120">
        <v>17.0</v>
      </c>
      <c r="CV16" s="120">
        <v>8.0</v>
      </c>
      <c r="CW16" s="120">
        <v>4.0</v>
      </c>
      <c r="CX16" s="120">
        <v>30.0</v>
      </c>
      <c r="CY16" s="120">
        <v>12.0</v>
      </c>
      <c r="CZ16" s="120">
        <v>8.0</v>
      </c>
      <c r="DA16" s="120">
        <v>4.0</v>
      </c>
      <c r="DB16" s="120">
        <v>11.0</v>
      </c>
      <c r="DC16" s="120">
        <v>12.0</v>
      </c>
      <c r="DD16" s="120">
        <v>15.0</v>
      </c>
      <c r="DE16" s="121"/>
      <c r="DF16" s="122"/>
      <c r="DG16" s="122"/>
      <c r="DH16" s="122"/>
      <c r="DI16" s="122"/>
      <c r="DJ16" s="122"/>
      <c r="DK16" s="122"/>
      <c r="DL16" s="122"/>
      <c r="DM16" s="122"/>
      <c r="DN16" s="122"/>
      <c r="DO16" s="122"/>
      <c r="DP16" s="122"/>
    </row>
    <row r="17">
      <c r="A17" s="115">
        <v>2042564.0</v>
      </c>
      <c r="B17" s="115" t="s">
        <v>393</v>
      </c>
      <c r="C17" s="115" t="s">
        <v>379</v>
      </c>
      <c r="D17" s="115" t="s">
        <v>17</v>
      </c>
      <c r="E17" s="115">
        <v>320.0</v>
      </c>
      <c r="F17" s="115">
        <v>0.0</v>
      </c>
      <c r="G17" s="115">
        <v>0.0</v>
      </c>
      <c r="H17" s="116">
        <v>1636211.2</v>
      </c>
      <c r="I17" s="115">
        <v>158.0</v>
      </c>
      <c r="J17" s="115">
        <v>0.0</v>
      </c>
      <c r="K17" s="116">
        <v>94349.7</v>
      </c>
      <c r="L17" s="115">
        <v>159.0</v>
      </c>
      <c r="M17" s="115">
        <v>0.0</v>
      </c>
      <c r="N17" s="116">
        <v>227497.2</v>
      </c>
      <c r="O17" s="115">
        <v>30.0</v>
      </c>
      <c r="P17" s="115">
        <v>110.0</v>
      </c>
      <c r="Q17" s="115">
        <v>66.0</v>
      </c>
      <c r="R17" s="115">
        <v>56.0</v>
      </c>
      <c r="S17" s="115">
        <v>47.0</v>
      </c>
      <c r="T17" s="115">
        <v>2.0</v>
      </c>
      <c r="U17" s="115">
        <v>0.0</v>
      </c>
      <c r="V17" s="115">
        <v>0.0</v>
      </c>
      <c r="W17" s="115">
        <v>0.0</v>
      </c>
      <c r="X17" s="115">
        <v>0.0</v>
      </c>
      <c r="Y17" s="115">
        <v>0.0</v>
      </c>
      <c r="Z17" s="115">
        <v>0.0</v>
      </c>
      <c r="AA17" s="116">
        <v>145965.47</v>
      </c>
      <c r="AB17" s="115">
        <v>81.93771626</v>
      </c>
      <c r="AC17" s="115">
        <v>0.0</v>
      </c>
      <c r="AD17" s="116">
        <v>59102.49</v>
      </c>
      <c r="AE17" s="115">
        <v>81.19089572</v>
      </c>
      <c r="AF17" s="115">
        <v>0.0</v>
      </c>
      <c r="AG17" s="116">
        <v>115208.26</v>
      </c>
      <c r="AH17" s="115">
        <v>3.8</v>
      </c>
      <c r="AI17" s="115">
        <v>0.0</v>
      </c>
      <c r="AJ17" s="116">
        <v>4426.01</v>
      </c>
      <c r="AK17" s="116">
        <v>180564.7</v>
      </c>
      <c r="AL17" s="116">
        <v>54692.94</v>
      </c>
      <c r="AM17" s="116">
        <v>2615245.64</v>
      </c>
      <c r="AN17" s="116">
        <v>83159.01</v>
      </c>
      <c r="AO17" s="116">
        <v>54692.94</v>
      </c>
      <c r="AP17" s="116">
        <v>180564.7</v>
      </c>
      <c r="AQ17" s="116">
        <v>2463147.01</v>
      </c>
      <c r="AR17" s="116">
        <v>345.0</v>
      </c>
      <c r="AS17" s="116">
        <v>7139.556551</v>
      </c>
      <c r="AT17" s="116">
        <v>7139.556551</v>
      </c>
      <c r="AU17" s="116">
        <v>2284658.096</v>
      </c>
      <c r="AV17" s="116">
        <v>54692.94</v>
      </c>
      <c r="AW17" s="116">
        <v>180564.7</v>
      </c>
      <c r="AX17" s="116">
        <v>2519915.74</v>
      </c>
      <c r="AY17" s="116">
        <v>1897.76</v>
      </c>
      <c r="AZ17" s="116">
        <v>2519915.74</v>
      </c>
      <c r="BA17" s="116">
        <v>3846.4</v>
      </c>
      <c r="BB17" s="117">
        <v>7046.64</v>
      </c>
      <c r="BC17" s="116">
        <v>1081.6</v>
      </c>
      <c r="BD17" s="116">
        <v>966.4</v>
      </c>
      <c r="BE17" s="116">
        <v>2816.0</v>
      </c>
      <c r="BF17" s="116">
        <v>8352.0</v>
      </c>
      <c r="BG17" s="116">
        <v>24109.04</v>
      </c>
      <c r="BH17" s="118">
        <v>345.0</v>
      </c>
      <c r="BI17" s="118">
        <v>1734566.8499999999</v>
      </c>
      <c r="BJ17" s="118">
        <v>0.0</v>
      </c>
      <c r="BK17" s="118">
        <v>0.0</v>
      </c>
      <c r="BL17" s="118">
        <v>93220.11</v>
      </c>
      <c r="BM17" s="118">
        <v>200878.4</v>
      </c>
      <c r="BN17" s="118">
        <v>9185.22</v>
      </c>
      <c r="BO17" s="118">
        <v>39156.96</v>
      </c>
      <c r="BP17" s="118">
        <v>40057.32</v>
      </c>
      <c r="BQ17" s="118">
        <v>35982.94</v>
      </c>
      <c r="BR17" s="118">
        <v>25867.8</v>
      </c>
      <c r="BS17" s="118">
        <v>2433.99</v>
      </c>
      <c r="BT17" s="118">
        <v>71797.32</v>
      </c>
      <c r="BU17" s="118">
        <v>117703.75</v>
      </c>
      <c r="BV17" s="118">
        <v>6057.74</v>
      </c>
      <c r="BW17" s="118">
        <v>171859.34</v>
      </c>
      <c r="BX17" s="118">
        <v>54692.94</v>
      </c>
      <c r="BY17" s="118">
        <v>11784.95</v>
      </c>
      <c r="BZ17" s="118">
        <v>2615245.64</v>
      </c>
      <c r="CA17" s="118">
        <v>46989.0</v>
      </c>
      <c r="CB17" s="118">
        <v>0.0</v>
      </c>
      <c r="CC17" s="118">
        <v>0.0</v>
      </c>
      <c r="CD17" s="118">
        <v>20844.8</v>
      </c>
      <c r="CE17" s="118">
        <v>4500.78</v>
      </c>
      <c r="CF17" s="117">
        <v>0.0</v>
      </c>
      <c r="CG17" s="119">
        <v>72334.57999999999</v>
      </c>
      <c r="CH17" s="119"/>
      <c r="CI17" s="119">
        <v>9460.0</v>
      </c>
      <c r="CJ17" s="119">
        <v>0.0</v>
      </c>
      <c r="CK17" s="116">
        <v>7.28</v>
      </c>
      <c r="CL17" s="116">
        <v>0.2</v>
      </c>
      <c r="CM17" s="116">
        <v>0.83</v>
      </c>
      <c r="CN17" s="116">
        <v>0.68</v>
      </c>
      <c r="CO17" s="116">
        <v>8.99</v>
      </c>
      <c r="CP17" s="120">
        <v>20.0</v>
      </c>
      <c r="CQ17" s="120">
        <v>5.0</v>
      </c>
      <c r="CR17" s="120">
        <v>0.0</v>
      </c>
      <c r="CS17" s="120">
        <v>0.0</v>
      </c>
      <c r="CT17" s="120">
        <v>18.0</v>
      </c>
      <c r="CU17" s="120">
        <v>6.0</v>
      </c>
      <c r="CV17" s="120">
        <v>0.0</v>
      </c>
      <c r="CW17" s="120">
        <v>0.0</v>
      </c>
      <c r="CX17" s="120">
        <v>18.0</v>
      </c>
      <c r="CY17" s="120">
        <v>4.0</v>
      </c>
      <c r="CZ17" s="120">
        <v>0.0</v>
      </c>
      <c r="DA17" s="120">
        <v>0.0</v>
      </c>
      <c r="DB17" s="120">
        <v>13.0</v>
      </c>
      <c r="DC17" s="120">
        <v>10.0</v>
      </c>
      <c r="DD17" s="120">
        <v>10.0</v>
      </c>
      <c r="DE17" s="121"/>
      <c r="DF17" s="122"/>
      <c r="DG17" s="122"/>
      <c r="DH17" s="122"/>
      <c r="DI17" s="122"/>
      <c r="DJ17" s="122"/>
      <c r="DK17" s="122"/>
      <c r="DL17" s="122"/>
      <c r="DM17" s="122"/>
      <c r="DN17" s="122"/>
      <c r="DO17" s="122"/>
      <c r="DP17" s="122"/>
    </row>
    <row r="18">
      <c r="A18" s="115">
        <v>2042592.0</v>
      </c>
      <c r="B18" s="115" t="s">
        <v>394</v>
      </c>
      <c r="C18" s="115" t="s">
        <v>379</v>
      </c>
      <c r="D18" s="115" t="s">
        <v>17</v>
      </c>
      <c r="E18" s="115">
        <v>190.0</v>
      </c>
      <c r="F18" s="115">
        <v>0.0</v>
      </c>
      <c r="G18" s="115">
        <v>0.0</v>
      </c>
      <c r="H18" s="116">
        <v>971500.4</v>
      </c>
      <c r="I18" s="115">
        <v>137.0</v>
      </c>
      <c r="J18" s="115">
        <v>0.0</v>
      </c>
      <c r="K18" s="116">
        <v>81809.55</v>
      </c>
      <c r="L18" s="115">
        <v>138.0</v>
      </c>
      <c r="M18" s="115">
        <v>0.0</v>
      </c>
      <c r="N18" s="116">
        <v>197450.4</v>
      </c>
      <c r="O18" s="115">
        <v>1.0</v>
      </c>
      <c r="P18" s="115">
        <v>35.0</v>
      </c>
      <c r="Q18" s="115">
        <v>57.0</v>
      </c>
      <c r="R18" s="115">
        <v>67.0</v>
      </c>
      <c r="S18" s="115">
        <v>30.0</v>
      </c>
      <c r="T18" s="115">
        <v>0.0</v>
      </c>
      <c r="U18" s="115">
        <v>0.0</v>
      </c>
      <c r="V18" s="115">
        <v>0.0</v>
      </c>
      <c r="W18" s="115">
        <v>0.0</v>
      </c>
      <c r="X18" s="115">
        <v>0.0</v>
      </c>
      <c r="Y18" s="115">
        <v>0.0</v>
      </c>
      <c r="Z18" s="115">
        <v>0.0</v>
      </c>
      <c r="AA18" s="116">
        <v>101368.09</v>
      </c>
      <c r="AB18" s="115">
        <v>43.4939759</v>
      </c>
      <c r="AC18" s="115">
        <v>0.0</v>
      </c>
      <c r="AD18" s="116">
        <v>31372.64</v>
      </c>
      <c r="AE18" s="115">
        <v>56.3838906</v>
      </c>
      <c r="AF18" s="115">
        <v>0.0</v>
      </c>
      <c r="AG18" s="116">
        <v>80007.61</v>
      </c>
      <c r="AH18" s="115">
        <v>4.6</v>
      </c>
      <c r="AI18" s="115">
        <v>0.0</v>
      </c>
      <c r="AJ18" s="116">
        <v>5357.8</v>
      </c>
      <c r="AK18" s="116">
        <v>180564.7</v>
      </c>
      <c r="AL18" s="116">
        <v>67920.0</v>
      </c>
      <c r="AM18" s="116">
        <v>1639182.09</v>
      </c>
      <c r="AN18" s="116">
        <v>55364.33</v>
      </c>
      <c r="AO18" s="116">
        <v>67920.0</v>
      </c>
      <c r="AP18" s="116">
        <v>180564.7</v>
      </c>
      <c r="AQ18" s="116">
        <v>1446061.72</v>
      </c>
      <c r="AR18" s="116">
        <v>190.0</v>
      </c>
      <c r="AS18" s="116">
        <v>7610.851158</v>
      </c>
      <c r="AT18" s="116">
        <v>7610.851158</v>
      </c>
      <c r="AU18" s="116">
        <v>1446061.72</v>
      </c>
      <c r="AV18" s="116">
        <v>67920.0</v>
      </c>
      <c r="AW18" s="116">
        <v>180564.7</v>
      </c>
      <c r="AX18" s="116">
        <v>1694546.42</v>
      </c>
      <c r="AY18" s="116">
        <v>0.0</v>
      </c>
      <c r="AZ18" s="116">
        <v>1717351.2</v>
      </c>
      <c r="BA18" s="116">
        <v>2283.8</v>
      </c>
      <c r="BB18" s="117">
        <v>3740.48</v>
      </c>
      <c r="BC18" s="116">
        <v>642.2</v>
      </c>
      <c r="BD18" s="116">
        <v>573.8</v>
      </c>
      <c r="BE18" s="116">
        <v>1672.0</v>
      </c>
      <c r="BF18" s="116">
        <v>4959.0</v>
      </c>
      <c r="BG18" s="116">
        <v>13871.28</v>
      </c>
      <c r="BH18" s="118">
        <v>190.0</v>
      </c>
      <c r="BI18" s="118">
        <v>955268.7</v>
      </c>
      <c r="BJ18" s="118">
        <v>0.0</v>
      </c>
      <c r="BK18" s="118">
        <v>0.0</v>
      </c>
      <c r="BL18" s="118">
        <v>79735.44</v>
      </c>
      <c r="BM18" s="118">
        <v>172002.13</v>
      </c>
      <c r="BN18" s="118">
        <v>556.68</v>
      </c>
      <c r="BO18" s="118">
        <v>9114.12</v>
      </c>
      <c r="BP18" s="118">
        <v>24245.22</v>
      </c>
      <c r="BQ18" s="118">
        <v>44688.49</v>
      </c>
      <c r="BR18" s="118">
        <v>20940.6</v>
      </c>
      <c r="BS18" s="118">
        <v>2433.99</v>
      </c>
      <c r="BT18" s="118">
        <v>28102.2</v>
      </c>
      <c r="BU18" s="118">
        <v>61629.94</v>
      </c>
      <c r="BV18" s="118">
        <v>685.78</v>
      </c>
      <c r="BW18" s="118">
        <v>171859.34</v>
      </c>
      <c r="BX18" s="118">
        <v>67920.0</v>
      </c>
      <c r="BY18" s="118">
        <v>0.0</v>
      </c>
      <c r="BZ18" s="118">
        <v>1639182.63</v>
      </c>
      <c r="CA18" s="118">
        <v>25878.0</v>
      </c>
      <c r="CB18" s="118">
        <v>0.0</v>
      </c>
      <c r="CC18" s="118">
        <v>0.0</v>
      </c>
      <c r="CD18" s="118">
        <v>17848.36</v>
      </c>
      <c r="CE18" s="118">
        <v>4500.78</v>
      </c>
      <c r="CF18" s="117">
        <v>10.0</v>
      </c>
      <c r="CG18" s="119">
        <v>48227.14</v>
      </c>
      <c r="CH18" s="119"/>
      <c r="CI18" s="119">
        <v>8815.0</v>
      </c>
      <c r="CJ18" s="119">
        <v>2992.0</v>
      </c>
      <c r="CK18" s="116">
        <v>7.28</v>
      </c>
      <c r="CL18" s="116">
        <v>0.22</v>
      </c>
      <c r="CM18" s="116">
        <v>0.99</v>
      </c>
      <c r="CN18" s="116">
        <v>0.68</v>
      </c>
      <c r="CO18" s="116">
        <v>9.17</v>
      </c>
      <c r="CP18" s="120">
        <v>26.0</v>
      </c>
      <c r="CQ18" s="120">
        <v>10.0</v>
      </c>
      <c r="CR18" s="120">
        <v>0.0</v>
      </c>
      <c r="CS18" s="120">
        <v>0.0</v>
      </c>
      <c r="CT18" s="120">
        <v>12.0</v>
      </c>
      <c r="CU18" s="120">
        <v>4.0</v>
      </c>
      <c r="CV18" s="120">
        <v>0.0</v>
      </c>
      <c r="CW18" s="120">
        <v>0.0</v>
      </c>
      <c r="CX18" s="120">
        <v>22.0</v>
      </c>
      <c r="CY18" s="120">
        <v>8.0</v>
      </c>
      <c r="CZ18" s="120">
        <v>0.0</v>
      </c>
      <c r="DA18" s="120">
        <v>0.0</v>
      </c>
      <c r="DB18" s="120">
        <v>18.0</v>
      </c>
      <c r="DC18" s="120">
        <v>8.0</v>
      </c>
      <c r="DD18" s="120">
        <v>12.0</v>
      </c>
      <c r="DE18" s="121"/>
      <c r="DF18" s="122"/>
      <c r="DG18" s="122"/>
      <c r="DH18" s="122"/>
      <c r="DI18" s="122"/>
      <c r="DJ18" s="122"/>
      <c r="DK18" s="122"/>
      <c r="DL18" s="122"/>
      <c r="DM18" s="122"/>
      <c r="DN18" s="122"/>
      <c r="DO18" s="122"/>
      <c r="DP18" s="122"/>
    </row>
    <row r="19">
      <c r="A19" s="115">
        <v>2042636.0</v>
      </c>
      <c r="B19" s="115" t="s">
        <v>395</v>
      </c>
      <c r="C19" s="115" t="s">
        <v>379</v>
      </c>
      <c r="D19" s="115" t="s">
        <v>17</v>
      </c>
      <c r="E19" s="115">
        <v>410.0</v>
      </c>
      <c r="F19" s="115">
        <v>0.0</v>
      </c>
      <c r="G19" s="115">
        <v>0.0</v>
      </c>
      <c r="H19" s="116">
        <v>2096395.6</v>
      </c>
      <c r="I19" s="115">
        <v>244.0</v>
      </c>
      <c r="J19" s="115">
        <v>0.0</v>
      </c>
      <c r="K19" s="116">
        <v>145704.6</v>
      </c>
      <c r="L19" s="115">
        <v>248.0</v>
      </c>
      <c r="M19" s="115">
        <v>0.0</v>
      </c>
      <c r="N19" s="116">
        <v>354838.4</v>
      </c>
      <c r="O19" s="115">
        <v>4.009779951</v>
      </c>
      <c r="P19" s="115">
        <v>111.2713936</v>
      </c>
      <c r="Q19" s="115">
        <v>84.20537897</v>
      </c>
      <c r="R19" s="115">
        <v>104.2542787</v>
      </c>
      <c r="S19" s="115">
        <v>76.18581907</v>
      </c>
      <c r="T19" s="115">
        <v>16.0391198</v>
      </c>
      <c r="U19" s="115">
        <v>0.0</v>
      </c>
      <c r="V19" s="115">
        <v>0.0</v>
      </c>
      <c r="W19" s="115">
        <v>0.0</v>
      </c>
      <c r="X19" s="115">
        <v>0.0</v>
      </c>
      <c r="Y19" s="115">
        <v>0.0</v>
      </c>
      <c r="Z19" s="115">
        <v>0.0</v>
      </c>
      <c r="AA19" s="116">
        <v>207262.12</v>
      </c>
      <c r="AB19" s="115">
        <v>58.57142857</v>
      </c>
      <c r="AC19" s="115">
        <v>0.0</v>
      </c>
      <c r="AD19" s="116">
        <v>42248.16</v>
      </c>
      <c r="AE19" s="115">
        <v>153.6351653</v>
      </c>
      <c r="AF19" s="115">
        <v>0.0</v>
      </c>
      <c r="AG19" s="116">
        <v>218005.23</v>
      </c>
      <c r="AH19" s="115">
        <v>2.4</v>
      </c>
      <c r="AI19" s="115">
        <v>0.0</v>
      </c>
      <c r="AJ19" s="116">
        <v>2795.38</v>
      </c>
      <c r="AK19" s="116">
        <v>180564.7</v>
      </c>
      <c r="AL19" s="116">
        <v>48393.0</v>
      </c>
      <c r="AM19" s="116">
        <v>3208737.08</v>
      </c>
      <c r="AN19" s="116">
        <v>105745.82</v>
      </c>
      <c r="AO19" s="116">
        <v>48393.0</v>
      </c>
      <c r="AP19" s="116">
        <v>180564.7</v>
      </c>
      <c r="AQ19" s="116">
        <v>3085525.2</v>
      </c>
      <c r="AR19" s="116">
        <v>411.0</v>
      </c>
      <c r="AS19" s="116">
        <v>7507.360584</v>
      </c>
      <c r="AT19" s="116">
        <v>7507.360584</v>
      </c>
      <c r="AU19" s="116">
        <v>3078017.839</v>
      </c>
      <c r="AV19" s="116">
        <v>48393.0</v>
      </c>
      <c r="AW19" s="116">
        <v>180564.7</v>
      </c>
      <c r="AX19" s="116">
        <v>3306975.54</v>
      </c>
      <c r="AY19" s="116">
        <v>10768.36</v>
      </c>
      <c r="AZ19" s="116">
        <v>3306975.54</v>
      </c>
      <c r="BA19" s="116">
        <v>4928.2</v>
      </c>
      <c r="BB19" s="117">
        <v>5037.14</v>
      </c>
      <c r="BC19" s="116">
        <v>1385.8</v>
      </c>
      <c r="BD19" s="116">
        <v>1238.2</v>
      </c>
      <c r="BE19" s="116">
        <v>3608.0</v>
      </c>
      <c r="BF19" s="116">
        <v>10701.0</v>
      </c>
      <c r="BG19" s="116">
        <v>26898.34</v>
      </c>
      <c r="BH19" s="118">
        <v>411.0</v>
      </c>
      <c r="BI19" s="118">
        <v>2066397.0299999998</v>
      </c>
      <c r="BJ19" s="118">
        <v>0.0</v>
      </c>
      <c r="BK19" s="118">
        <v>0.0</v>
      </c>
      <c r="BL19" s="118">
        <v>140709.6</v>
      </c>
      <c r="BM19" s="118">
        <v>305084.07</v>
      </c>
      <c r="BN19" s="118">
        <v>1674.11</v>
      </c>
      <c r="BO19" s="118">
        <v>38914.08</v>
      </c>
      <c r="BP19" s="118">
        <v>42796.8</v>
      </c>
      <c r="BQ19" s="118">
        <v>61669.27</v>
      </c>
      <c r="BR19" s="118">
        <v>46305.16</v>
      </c>
      <c r="BS19" s="118">
        <v>11386.32</v>
      </c>
      <c r="BT19" s="118">
        <v>48686.6</v>
      </c>
      <c r="BU19" s="118">
        <v>221045.06</v>
      </c>
      <c r="BV19" s="118">
        <v>3817.52</v>
      </c>
      <c r="BW19" s="118">
        <v>171859.34</v>
      </c>
      <c r="BX19" s="118">
        <v>48393.0</v>
      </c>
      <c r="BY19" s="118">
        <v>0.0</v>
      </c>
      <c r="BZ19" s="118">
        <v>3208737.97</v>
      </c>
      <c r="CA19" s="118">
        <v>55978.2</v>
      </c>
      <c r="CB19" s="118">
        <v>0.0</v>
      </c>
      <c r="CC19" s="118">
        <v>0.0</v>
      </c>
      <c r="CD19" s="118">
        <v>31658.04</v>
      </c>
      <c r="CE19" s="118">
        <v>4500.78</v>
      </c>
      <c r="CF19" s="117">
        <v>10.0</v>
      </c>
      <c r="CG19" s="119">
        <v>92137.01999999999</v>
      </c>
      <c r="CH19" s="119"/>
      <c r="CI19" s="119">
        <v>9740.0</v>
      </c>
      <c r="CJ19" s="119">
        <v>15080.0</v>
      </c>
      <c r="CK19" s="116">
        <v>7.28</v>
      </c>
      <c r="CL19" s="116">
        <v>0.22</v>
      </c>
      <c r="CM19" s="116">
        <v>0.36</v>
      </c>
      <c r="CN19" s="116">
        <v>0.68</v>
      </c>
      <c r="CO19" s="116">
        <v>8.54</v>
      </c>
      <c r="CP19" s="120">
        <v>18.0</v>
      </c>
      <c r="CQ19" s="120">
        <v>13.0</v>
      </c>
      <c r="CR19" s="120">
        <v>0.0</v>
      </c>
      <c r="CS19" s="120">
        <v>0.0</v>
      </c>
      <c r="CT19" s="120">
        <v>14.0</v>
      </c>
      <c r="CU19" s="120">
        <v>8.0</v>
      </c>
      <c r="CV19" s="120">
        <v>0.0</v>
      </c>
      <c r="CW19" s="120">
        <v>0.0</v>
      </c>
      <c r="CX19" s="120">
        <v>21.0</v>
      </c>
      <c r="CY19" s="120">
        <v>9.0</v>
      </c>
      <c r="CZ19" s="120">
        <v>0.0</v>
      </c>
      <c r="DA19" s="120">
        <v>0.0</v>
      </c>
      <c r="DB19" s="120">
        <v>19.0</v>
      </c>
      <c r="DC19" s="120">
        <v>4.0</v>
      </c>
      <c r="DD19" s="120">
        <v>12.0</v>
      </c>
      <c r="DE19" s="121"/>
      <c r="DF19" s="122"/>
      <c r="DG19" s="122"/>
      <c r="DH19" s="122"/>
      <c r="DI19" s="122"/>
      <c r="DJ19" s="122"/>
      <c r="DK19" s="122"/>
      <c r="DL19" s="122"/>
      <c r="DM19" s="122"/>
      <c r="DN19" s="122"/>
      <c r="DO19" s="122"/>
      <c r="DP19" s="122"/>
    </row>
    <row r="20">
      <c r="A20" s="115">
        <v>2042654.0</v>
      </c>
      <c r="B20" s="115" t="s">
        <v>396</v>
      </c>
      <c r="C20" s="115" t="s">
        <v>379</v>
      </c>
      <c r="D20" s="115" t="s">
        <v>17</v>
      </c>
      <c r="E20" s="115">
        <v>590.0</v>
      </c>
      <c r="F20" s="115">
        <v>0.0</v>
      </c>
      <c r="G20" s="115">
        <v>0.0</v>
      </c>
      <c r="H20" s="116">
        <v>3016764.4</v>
      </c>
      <c r="I20" s="115">
        <v>327.0</v>
      </c>
      <c r="J20" s="115">
        <v>0.0</v>
      </c>
      <c r="K20" s="116">
        <v>195268.05</v>
      </c>
      <c r="L20" s="115">
        <v>328.0</v>
      </c>
      <c r="M20" s="115">
        <v>0.0</v>
      </c>
      <c r="N20" s="116">
        <v>469302.4</v>
      </c>
      <c r="O20" s="115">
        <v>61.0</v>
      </c>
      <c r="P20" s="115">
        <v>38.0</v>
      </c>
      <c r="Q20" s="115">
        <v>63.0</v>
      </c>
      <c r="R20" s="115">
        <v>154.0</v>
      </c>
      <c r="S20" s="115">
        <v>147.0</v>
      </c>
      <c r="T20" s="115">
        <v>107.0</v>
      </c>
      <c r="U20" s="115">
        <v>0.0</v>
      </c>
      <c r="V20" s="115">
        <v>0.0</v>
      </c>
      <c r="W20" s="115">
        <v>0.0</v>
      </c>
      <c r="X20" s="115">
        <v>0.0</v>
      </c>
      <c r="Y20" s="115">
        <v>0.0</v>
      </c>
      <c r="Z20" s="115">
        <v>0.0</v>
      </c>
      <c r="AA20" s="116">
        <v>335984.16</v>
      </c>
      <c r="AB20" s="115">
        <v>186.988189</v>
      </c>
      <c r="AC20" s="115">
        <v>0.0</v>
      </c>
      <c r="AD20" s="116">
        <v>134876.45</v>
      </c>
      <c r="AE20" s="115">
        <v>174.3659311</v>
      </c>
      <c r="AF20" s="115">
        <v>0.0</v>
      </c>
      <c r="AG20" s="116">
        <v>247421.77</v>
      </c>
      <c r="AH20" s="115">
        <v>30.6</v>
      </c>
      <c r="AI20" s="115">
        <v>0.0</v>
      </c>
      <c r="AJ20" s="116">
        <v>35641.04</v>
      </c>
      <c r="AK20" s="116">
        <v>180564.7</v>
      </c>
      <c r="AL20" s="116">
        <v>70750.0</v>
      </c>
      <c r="AM20" s="116">
        <v>4590520.39</v>
      </c>
      <c r="AN20" s="116">
        <v>147823.37</v>
      </c>
      <c r="AO20" s="116">
        <v>70750.0</v>
      </c>
      <c r="AP20" s="116">
        <v>180564.7</v>
      </c>
      <c r="AQ20" s="116">
        <v>4487029.06</v>
      </c>
      <c r="AR20" s="116">
        <v>597.0</v>
      </c>
      <c r="AS20" s="116">
        <v>7515.961575</v>
      </c>
      <c r="AT20" s="116">
        <v>7515.961575</v>
      </c>
      <c r="AU20" s="116">
        <v>4434417.329</v>
      </c>
      <c r="AV20" s="116">
        <v>70750.0</v>
      </c>
      <c r="AW20" s="116">
        <v>180564.7</v>
      </c>
      <c r="AX20" s="116">
        <v>4685732.03</v>
      </c>
      <c r="AY20" s="116">
        <v>0.0</v>
      </c>
      <c r="AZ20" s="116">
        <v>4686572.97</v>
      </c>
      <c r="BA20" s="116">
        <v>7091.8</v>
      </c>
      <c r="BB20" s="117">
        <v>16080.98</v>
      </c>
      <c r="BC20" s="116">
        <v>1994.2</v>
      </c>
      <c r="BD20" s="116">
        <v>1781.8</v>
      </c>
      <c r="BE20" s="116">
        <v>5192.0</v>
      </c>
      <c r="BF20" s="116">
        <v>15399.0</v>
      </c>
      <c r="BG20" s="116">
        <v>47539.78</v>
      </c>
      <c r="BH20" s="118">
        <v>597.0</v>
      </c>
      <c r="BI20" s="118">
        <v>3001554.8099999996</v>
      </c>
      <c r="BJ20" s="118">
        <v>0.0</v>
      </c>
      <c r="BK20" s="118">
        <v>0.0</v>
      </c>
      <c r="BL20" s="118">
        <v>192889.41</v>
      </c>
      <c r="BM20" s="118">
        <v>414311.7</v>
      </c>
      <c r="BN20" s="118">
        <v>15308.7</v>
      </c>
      <c r="BO20" s="118">
        <v>10801.92</v>
      </c>
      <c r="BP20" s="118">
        <v>26880.57</v>
      </c>
      <c r="BQ20" s="118">
        <v>88216.24</v>
      </c>
      <c r="BR20" s="118">
        <v>94848.6</v>
      </c>
      <c r="BS20" s="118">
        <v>102227.58</v>
      </c>
      <c r="BT20" s="118">
        <v>141613.49</v>
      </c>
      <c r="BU20" s="118">
        <v>230479.46</v>
      </c>
      <c r="BV20" s="118">
        <v>28779.98</v>
      </c>
      <c r="BW20" s="118">
        <v>171859.34</v>
      </c>
      <c r="BX20" s="118">
        <v>70750.0</v>
      </c>
      <c r="BY20" s="118">
        <v>0.0</v>
      </c>
      <c r="BZ20" s="118">
        <v>4590521.81</v>
      </c>
      <c r="CA20" s="118">
        <v>81311.4</v>
      </c>
      <c r="CB20" s="118">
        <v>0.0</v>
      </c>
      <c r="CC20" s="118">
        <v>0.0</v>
      </c>
      <c r="CD20" s="118">
        <v>42992.4</v>
      </c>
      <c r="CE20" s="118">
        <v>4500.78</v>
      </c>
      <c r="CF20" s="117">
        <v>0.0</v>
      </c>
      <c r="CG20" s="119">
        <v>128804.58000000002</v>
      </c>
      <c r="CH20" s="119"/>
      <c r="CI20" s="119">
        <v>10595.0</v>
      </c>
      <c r="CJ20" s="119">
        <v>0.0</v>
      </c>
      <c r="CK20" s="116">
        <v>7.28</v>
      </c>
      <c r="CL20" s="116">
        <v>0.26</v>
      </c>
      <c r="CM20" s="116">
        <v>0.7</v>
      </c>
      <c r="CN20" s="116">
        <v>0.68</v>
      </c>
      <c r="CO20" s="116">
        <v>8.92</v>
      </c>
      <c r="CP20" s="120">
        <v>54.0</v>
      </c>
      <c r="CQ20" s="120">
        <v>22.0</v>
      </c>
      <c r="CR20" s="120">
        <v>18.0</v>
      </c>
      <c r="CS20" s="120">
        <v>3.0</v>
      </c>
      <c r="CT20" s="120">
        <v>41.0</v>
      </c>
      <c r="CU20" s="120">
        <v>10.0</v>
      </c>
      <c r="CV20" s="120">
        <v>18.0</v>
      </c>
      <c r="CW20" s="120">
        <v>3.0</v>
      </c>
      <c r="CX20" s="120">
        <v>47.0</v>
      </c>
      <c r="CY20" s="120">
        <v>18.0</v>
      </c>
      <c r="CZ20" s="120">
        <v>18.0</v>
      </c>
      <c r="DA20" s="120">
        <v>3.0</v>
      </c>
      <c r="DB20" s="120">
        <v>34.0</v>
      </c>
      <c r="DC20" s="120">
        <v>18.0</v>
      </c>
      <c r="DD20" s="120">
        <v>44.0</v>
      </c>
      <c r="DE20" s="121"/>
      <c r="DF20" s="122"/>
      <c r="DG20" s="122"/>
      <c r="DH20" s="122"/>
      <c r="DI20" s="122"/>
      <c r="DJ20" s="122"/>
      <c r="DK20" s="122"/>
      <c r="DL20" s="122"/>
      <c r="DM20" s="122"/>
      <c r="DN20" s="122"/>
      <c r="DO20" s="122"/>
      <c r="DP20" s="122"/>
    </row>
    <row r="21">
      <c r="A21" s="115">
        <v>2042779.0</v>
      </c>
      <c r="B21" s="115" t="s">
        <v>397</v>
      </c>
      <c r="C21" s="115" t="s">
        <v>379</v>
      </c>
      <c r="D21" s="115" t="s">
        <v>17</v>
      </c>
      <c r="E21" s="115">
        <v>200.0</v>
      </c>
      <c r="F21" s="115">
        <v>0.0</v>
      </c>
      <c r="G21" s="115">
        <v>0.0</v>
      </c>
      <c r="H21" s="116">
        <v>1022632.0</v>
      </c>
      <c r="I21" s="115">
        <v>110.0</v>
      </c>
      <c r="J21" s="115">
        <v>0.0</v>
      </c>
      <c r="K21" s="116">
        <v>65686.5</v>
      </c>
      <c r="L21" s="115">
        <v>112.0</v>
      </c>
      <c r="M21" s="115">
        <v>0.0</v>
      </c>
      <c r="N21" s="116">
        <v>160249.6</v>
      </c>
      <c r="O21" s="115">
        <v>8.040201005</v>
      </c>
      <c r="P21" s="115">
        <v>29.14572864</v>
      </c>
      <c r="Q21" s="115">
        <v>3.015075377</v>
      </c>
      <c r="R21" s="115">
        <v>78.3919598</v>
      </c>
      <c r="S21" s="115">
        <v>14.07035176</v>
      </c>
      <c r="T21" s="115">
        <v>61.30653266</v>
      </c>
      <c r="U21" s="115">
        <v>0.0</v>
      </c>
      <c r="V21" s="115">
        <v>0.0</v>
      </c>
      <c r="W21" s="115">
        <v>0.0</v>
      </c>
      <c r="X21" s="115">
        <v>0.0</v>
      </c>
      <c r="Y21" s="115">
        <v>0.0</v>
      </c>
      <c r="Z21" s="115">
        <v>0.0</v>
      </c>
      <c r="AA21" s="116">
        <v>119811.03</v>
      </c>
      <c r="AB21" s="115">
        <v>68.23529412</v>
      </c>
      <c r="AC21" s="115">
        <v>0.0</v>
      </c>
      <c r="AD21" s="116">
        <v>49218.8</v>
      </c>
      <c r="AE21" s="115">
        <v>50.14262624</v>
      </c>
      <c r="AF21" s="115">
        <v>0.0</v>
      </c>
      <c r="AG21" s="116">
        <v>71151.38</v>
      </c>
      <c r="AH21" s="115">
        <v>8.0</v>
      </c>
      <c r="AI21" s="115">
        <v>0.0</v>
      </c>
      <c r="AJ21" s="116">
        <v>9317.92</v>
      </c>
      <c r="AK21" s="116">
        <v>180564.7</v>
      </c>
      <c r="AL21" s="116">
        <v>34546.25</v>
      </c>
      <c r="AM21" s="116">
        <v>1589004.39</v>
      </c>
      <c r="AN21" s="116">
        <v>50507.04</v>
      </c>
      <c r="AO21" s="116">
        <v>34546.25</v>
      </c>
      <c r="AP21" s="116">
        <v>180564.7</v>
      </c>
      <c r="AQ21" s="116">
        <v>1424400.48</v>
      </c>
      <c r="AR21" s="116">
        <v>189.0</v>
      </c>
      <c r="AS21" s="116">
        <v>7536.510476</v>
      </c>
      <c r="AT21" s="116">
        <v>7536.510476</v>
      </c>
      <c r="AU21" s="116">
        <v>1507302.095</v>
      </c>
      <c r="AV21" s="116">
        <v>34546.25</v>
      </c>
      <c r="AW21" s="116">
        <v>180564.7</v>
      </c>
      <c r="AX21" s="116">
        <v>1722413.05</v>
      </c>
      <c r="AY21" s="116">
        <v>9234.87</v>
      </c>
      <c r="AZ21" s="116">
        <v>1722413.05</v>
      </c>
      <c r="BA21" s="116">
        <v>2404.0</v>
      </c>
      <c r="BB21" s="117">
        <v>5868.24</v>
      </c>
      <c r="BC21" s="116">
        <v>676.0</v>
      </c>
      <c r="BD21" s="116">
        <v>604.0</v>
      </c>
      <c r="BE21" s="116">
        <v>1760.0</v>
      </c>
      <c r="BF21" s="116">
        <v>5220.0</v>
      </c>
      <c r="BG21" s="116">
        <v>16532.24</v>
      </c>
      <c r="BH21" s="118">
        <v>189.0</v>
      </c>
      <c r="BI21" s="118">
        <v>950240.97</v>
      </c>
      <c r="BJ21" s="118">
        <v>0.0</v>
      </c>
      <c r="BK21" s="118">
        <v>0.0</v>
      </c>
      <c r="BL21" s="118">
        <v>59801.58</v>
      </c>
      <c r="BM21" s="118">
        <v>131826.45</v>
      </c>
      <c r="BN21" s="118">
        <v>556.68</v>
      </c>
      <c r="BO21" s="118">
        <v>6413.64</v>
      </c>
      <c r="BP21" s="118">
        <v>1581.21</v>
      </c>
      <c r="BQ21" s="118">
        <v>51072.56</v>
      </c>
      <c r="BR21" s="118">
        <v>8006.7</v>
      </c>
      <c r="BS21" s="118">
        <v>49491.13</v>
      </c>
      <c r="BT21" s="118">
        <v>46577.03</v>
      </c>
      <c r="BU21" s="118">
        <v>61785.18</v>
      </c>
      <c r="BV21" s="118">
        <v>8755.15</v>
      </c>
      <c r="BW21" s="118">
        <v>171859.34</v>
      </c>
      <c r="BX21" s="118">
        <v>34546.25</v>
      </c>
      <c r="BY21" s="118">
        <v>6490.52</v>
      </c>
      <c r="BZ21" s="118">
        <v>1589004.39</v>
      </c>
      <c r="CA21" s="118">
        <v>25741.8</v>
      </c>
      <c r="CB21" s="118">
        <v>0.0</v>
      </c>
      <c r="CC21" s="118">
        <v>0.0</v>
      </c>
      <c r="CD21" s="118">
        <v>13679.4</v>
      </c>
      <c r="CE21" s="118">
        <v>4500.78</v>
      </c>
      <c r="CF21" s="117">
        <v>0.0</v>
      </c>
      <c r="CG21" s="119">
        <v>43921.979999999996</v>
      </c>
      <c r="CH21" s="119"/>
      <c r="CI21" s="119">
        <v>8830.0</v>
      </c>
      <c r="CJ21" s="119">
        <v>0.0</v>
      </c>
      <c r="CK21" s="116">
        <v>7.28</v>
      </c>
      <c r="CL21" s="116">
        <v>0.22</v>
      </c>
      <c r="CM21" s="116">
        <v>1.04</v>
      </c>
      <c r="CN21" s="116">
        <v>0.68</v>
      </c>
      <c r="CO21" s="116">
        <v>9.22</v>
      </c>
      <c r="CP21" s="120">
        <v>20.0</v>
      </c>
      <c r="CQ21" s="120">
        <v>10.0</v>
      </c>
      <c r="CR21" s="120">
        <v>6.0</v>
      </c>
      <c r="CS21" s="120">
        <v>2.0</v>
      </c>
      <c r="CT21" s="120">
        <v>19.0</v>
      </c>
      <c r="CU21" s="120">
        <v>2.0</v>
      </c>
      <c r="CV21" s="120">
        <v>6.0</v>
      </c>
      <c r="CW21" s="120">
        <v>2.0</v>
      </c>
      <c r="CX21" s="120">
        <v>18.0</v>
      </c>
      <c r="CY21" s="120">
        <v>7.0</v>
      </c>
      <c r="CZ21" s="120">
        <v>6.0</v>
      </c>
      <c r="DA21" s="120">
        <v>2.0</v>
      </c>
      <c r="DB21" s="120">
        <v>13.0</v>
      </c>
      <c r="DC21" s="120">
        <v>11.0</v>
      </c>
      <c r="DD21" s="120">
        <v>9.0</v>
      </c>
      <c r="DE21" s="121"/>
      <c r="DF21" s="122"/>
      <c r="DG21" s="122"/>
      <c r="DH21" s="122"/>
      <c r="DI21" s="122"/>
      <c r="DJ21" s="122"/>
      <c r="DK21" s="122"/>
      <c r="DL21" s="122"/>
      <c r="DM21" s="122"/>
      <c r="DN21" s="122"/>
      <c r="DO21" s="122"/>
      <c r="DP21" s="122"/>
    </row>
    <row r="22">
      <c r="A22" s="115">
        <v>2042856.0</v>
      </c>
      <c r="B22" s="115" t="s">
        <v>398</v>
      </c>
      <c r="C22" s="115" t="s">
        <v>379</v>
      </c>
      <c r="D22" s="115" t="s">
        <v>17</v>
      </c>
      <c r="E22" s="115">
        <v>201.0</v>
      </c>
      <c r="F22" s="115">
        <v>0.0</v>
      </c>
      <c r="G22" s="115">
        <v>0.0</v>
      </c>
      <c r="H22" s="116">
        <v>1027745.16</v>
      </c>
      <c r="I22" s="115">
        <v>32.0</v>
      </c>
      <c r="J22" s="115">
        <v>0.0</v>
      </c>
      <c r="K22" s="116">
        <v>19108.8</v>
      </c>
      <c r="L22" s="115">
        <v>35.0</v>
      </c>
      <c r="M22" s="115">
        <v>0.0</v>
      </c>
      <c r="N22" s="116">
        <v>50078.0</v>
      </c>
      <c r="O22" s="115">
        <v>19.0</v>
      </c>
      <c r="P22" s="115">
        <v>24.0</v>
      </c>
      <c r="Q22" s="115">
        <v>2.0</v>
      </c>
      <c r="R22" s="115">
        <v>22.0</v>
      </c>
      <c r="S22" s="115">
        <v>33.0</v>
      </c>
      <c r="T22" s="115">
        <v>0.0</v>
      </c>
      <c r="U22" s="115">
        <v>0.0</v>
      </c>
      <c r="V22" s="115">
        <v>0.0</v>
      </c>
      <c r="W22" s="115">
        <v>0.0</v>
      </c>
      <c r="X22" s="115">
        <v>0.0</v>
      </c>
      <c r="Y22" s="115">
        <v>0.0</v>
      </c>
      <c r="Z22" s="115">
        <v>0.0</v>
      </c>
      <c r="AA22" s="116">
        <v>48387.05</v>
      </c>
      <c r="AB22" s="115">
        <v>30.56140351</v>
      </c>
      <c r="AC22" s="115">
        <v>0.0</v>
      </c>
      <c r="AD22" s="116">
        <v>22044.25</v>
      </c>
      <c r="AE22" s="115">
        <v>44.61502742</v>
      </c>
      <c r="AF22" s="115">
        <v>0.0</v>
      </c>
      <c r="AG22" s="116">
        <v>63307.83</v>
      </c>
      <c r="AH22" s="115">
        <v>2.94</v>
      </c>
      <c r="AI22" s="115">
        <v>0.0</v>
      </c>
      <c r="AJ22" s="116">
        <v>3424.34</v>
      </c>
      <c r="AK22" s="116">
        <v>180564.7</v>
      </c>
      <c r="AL22" s="116">
        <v>31395.0</v>
      </c>
      <c r="AM22" s="116">
        <v>1422091.18</v>
      </c>
      <c r="AN22" s="116">
        <v>40247.63</v>
      </c>
      <c r="AO22" s="116">
        <v>31395.0</v>
      </c>
      <c r="AP22" s="116">
        <v>180564.7</v>
      </c>
      <c r="AQ22" s="116">
        <v>1250379.11</v>
      </c>
      <c r="AR22" s="116">
        <v>191.0</v>
      </c>
      <c r="AS22" s="116">
        <v>6546.487487</v>
      </c>
      <c r="AT22" s="116">
        <v>6546.487487</v>
      </c>
      <c r="AU22" s="116">
        <v>1315843.985</v>
      </c>
      <c r="AV22" s="116">
        <v>31395.0</v>
      </c>
      <c r="AW22" s="116">
        <v>180564.7</v>
      </c>
      <c r="AX22" s="116">
        <v>1527803.68</v>
      </c>
      <c r="AY22" s="116">
        <v>81748.56</v>
      </c>
      <c r="AZ22" s="116">
        <v>1527803.68</v>
      </c>
      <c r="BA22" s="116">
        <v>2416.02</v>
      </c>
      <c r="BB22" s="117">
        <v>2628.28</v>
      </c>
      <c r="BC22" s="116">
        <v>679.38</v>
      </c>
      <c r="BD22" s="116">
        <v>607.02</v>
      </c>
      <c r="BE22" s="116">
        <v>1768.8</v>
      </c>
      <c r="BF22" s="116">
        <v>5246.1</v>
      </c>
      <c r="BG22" s="116">
        <v>13345.6</v>
      </c>
      <c r="BH22" s="118">
        <v>191.0</v>
      </c>
      <c r="BI22" s="118">
        <v>960296.4299999999</v>
      </c>
      <c r="BJ22" s="118">
        <v>0.0</v>
      </c>
      <c r="BK22" s="118">
        <v>0.0</v>
      </c>
      <c r="BL22" s="118">
        <v>18174.99</v>
      </c>
      <c r="BM22" s="118">
        <v>41431.17</v>
      </c>
      <c r="BN22" s="118">
        <v>5566.8</v>
      </c>
      <c r="BO22" s="118">
        <v>8776.56</v>
      </c>
      <c r="BP22" s="118">
        <v>1054.14</v>
      </c>
      <c r="BQ22" s="118">
        <v>11607.4</v>
      </c>
      <c r="BR22" s="118">
        <v>17861.1</v>
      </c>
      <c r="BS22" s="118">
        <v>0.0</v>
      </c>
      <c r="BT22" s="118">
        <v>21339.57</v>
      </c>
      <c r="BU22" s="118">
        <v>61231.77</v>
      </c>
      <c r="BV22" s="118">
        <v>6332.05</v>
      </c>
      <c r="BW22" s="118">
        <v>171859.34</v>
      </c>
      <c r="BX22" s="118">
        <v>31395.0</v>
      </c>
      <c r="BY22" s="118">
        <v>65164.86</v>
      </c>
      <c r="BZ22" s="118">
        <v>1422091.18</v>
      </c>
      <c r="CA22" s="118">
        <v>26014.200000000004</v>
      </c>
      <c r="CB22" s="118">
        <v>0.0</v>
      </c>
      <c r="CC22" s="118">
        <v>0.0</v>
      </c>
      <c r="CD22" s="118">
        <v>4299.24</v>
      </c>
      <c r="CE22" s="118">
        <v>4500.78</v>
      </c>
      <c r="CF22" s="117">
        <v>0.0</v>
      </c>
      <c r="CG22" s="119">
        <v>34814.22</v>
      </c>
      <c r="CH22" s="119"/>
      <c r="CI22" s="119">
        <v>8800.0</v>
      </c>
      <c r="CJ22" s="119">
        <v>0.0</v>
      </c>
      <c r="CK22" s="116">
        <v>7.28</v>
      </c>
      <c r="CL22" s="116">
        <v>0.18</v>
      </c>
      <c r="CM22" s="116">
        <v>0.0</v>
      </c>
      <c r="CN22" s="116">
        <v>0.68</v>
      </c>
      <c r="CO22" s="116">
        <v>8.14</v>
      </c>
      <c r="CP22" s="120">
        <v>8.0</v>
      </c>
      <c r="CQ22" s="120">
        <v>17.0</v>
      </c>
      <c r="CR22" s="120">
        <v>0.0</v>
      </c>
      <c r="CS22" s="120">
        <v>0.0</v>
      </c>
      <c r="CT22" s="120">
        <v>3.0</v>
      </c>
      <c r="CU22" s="120">
        <v>8.0</v>
      </c>
      <c r="CV22" s="120">
        <v>0.0</v>
      </c>
      <c r="CW22" s="120">
        <v>0.0</v>
      </c>
      <c r="CX22" s="120">
        <v>8.0</v>
      </c>
      <c r="CY22" s="120">
        <v>16.0</v>
      </c>
      <c r="CZ22" s="120">
        <v>0.0</v>
      </c>
      <c r="DA22" s="120">
        <v>0.0</v>
      </c>
      <c r="DB22" s="120">
        <v>1.0</v>
      </c>
      <c r="DC22" s="120">
        <v>0.0</v>
      </c>
      <c r="DD22" s="120">
        <v>1.0</v>
      </c>
      <c r="DE22" s="121"/>
      <c r="DF22" s="122"/>
      <c r="DG22" s="122"/>
      <c r="DH22" s="122"/>
      <c r="DI22" s="122"/>
      <c r="DJ22" s="122"/>
      <c r="DK22" s="122"/>
      <c r="DL22" s="122"/>
      <c r="DM22" s="122"/>
      <c r="DN22" s="122"/>
      <c r="DO22" s="122"/>
      <c r="DP22" s="122"/>
    </row>
    <row r="23">
      <c r="A23" s="115">
        <v>2042859.0</v>
      </c>
      <c r="B23" s="115" t="s">
        <v>399</v>
      </c>
      <c r="C23" s="115" t="s">
        <v>379</v>
      </c>
      <c r="D23" s="115" t="s">
        <v>17</v>
      </c>
      <c r="E23" s="115">
        <v>417.0</v>
      </c>
      <c r="F23" s="115">
        <v>0.0</v>
      </c>
      <c r="G23" s="115">
        <v>0.0</v>
      </c>
      <c r="H23" s="116">
        <v>2132187.72</v>
      </c>
      <c r="I23" s="115">
        <v>140.0</v>
      </c>
      <c r="J23" s="115">
        <v>0.0</v>
      </c>
      <c r="K23" s="116">
        <v>83601.0</v>
      </c>
      <c r="L23" s="115">
        <v>140.0</v>
      </c>
      <c r="M23" s="115">
        <v>0.0</v>
      </c>
      <c r="N23" s="116">
        <v>200312.0</v>
      </c>
      <c r="O23" s="115">
        <v>100.0</v>
      </c>
      <c r="P23" s="115">
        <v>101.0</v>
      </c>
      <c r="Q23" s="115">
        <v>56.0</v>
      </c>
      <c r="R23" s="115">
        <v>12.0</v>
      </c>
      <c r="S23" s="115">
        <v>12.0</v>
      </c>
      <c r="T23" s="115">
        <v>0.0</v>
      </c>
      <c r="U23" s="115">
        <v>0.0</v>
      </c>
      <c r="V23" s="115">
        <v>0.0</v>
      </c>
      <c r="W23" s="115">
        <v>0.0</v>
      </c>
      <c r="X23" s="115">
        <v>0.0</v>
      </c>
      <c r="Y23" s="115">
        <v>0.0</v>
      </c>
      <c r="Z23" s="115">
        <v>0.0</v>
      </c>
      <c r="AA23" s="116">
        <v>107760.0</v>
      </c>
      <c r="AB23" s="115">
        <v>82.93277311</v>
      </c>
      <c r="AC23" s="115">
        <v>0.0</v>
      </c>
      <c r="AD23" s="116">
        <v>59820.24</v>
      </c>
      <c r="AE23" s="115">
        <v>111.1979683</v>
      </c>
      <c r="AF23" s="115">
        <v>0.0</v>
      </c>
      <c r="AG23" s="116">
        <v>157787.69</v>
      </c>
      <c r="AH23" s="115">
        <v>17.98</v>
      </c>
      <c r="AI23" s="115">
        <v>0.0</v>
      </c>
      <c r="AJ23" s="116">
        <v>20942.03</v>
      </c>
      <c r="AK23" s="116">
        <v>180564.7</v>
      </c>
      <c r="AL23" s="116">
        <v>48393.0</v>
      </c>
      <c r="AM23" s="116">
        <v>2807826.69</v>
      </c>
      <c r="AN23" s="116">
        <v>86105.84</v>
      </c>
      <c r="AO23" s="116">
        <v>48393.0</v>
      </c>
      <c r="AP23" s="116">
        <v>180564.7</v>
      </c>
      <c r="AQ23" s="116">
        <v>2664974.83</v>
      </c>
      <c r="AR23" s="116">
        <v>401.0</v>
      </c>
      <c r="AS23" s="116">
        <v>6645.822519</v>
      </c>
      <c r="AT23" s="116">
        <v>6645.822519</v>
      </c>
      <c r="AU23" s="116">
        <v>2771307.99</v>
      </c>
      <c r="AV23" s="116">
        <v>48393.0</v>
      </c>
      <c r="AW23" s="116">
        <v>180564.7</v>
      </c>
      <c r="AX23" s="116">
        <v>3000265.69</v>
      </c>
      <c r="AY23" s="116">
        <v>8897.31</v>
      </c>
      <c r="AZ23" s="116">
        <v>3000265.69</v>
      </c>
      <c r="BA23" s="116">
        <v>5012.34</v>
      </c>
      <c r="BB23" s="117">
        <v>7132.22</v>
      </c>
      <c r="BC23" s="116">
        <v>1409.46</v>
      </c>
      <c r="BD23" s="116">
        <v>1259.34</v>
      </c>
      <c r="BE23" s="116">
        <v>3669.6</v>
      </c>
      <c r="BF23" s="116">
        <v>10883.7</v>
      </c>
      <c r="BG23" s="116">
        <v>29366.66</v>
      </c>
      <c r="BH23" s="118">
        <v>401.0</v>
      </c>
      <c r="BI23" s="118">
        <v>2016119.7299999997</v>
      </c>
      <c r="BJ23" s="118">
        <v>0.0</v>
      </c>
      <c r="BK23" s="118">
        <v>0.0</v>
      </c>
      <c r="BL23" s="118">
        <v>70354.8</v>
      </c>
      <c r="BM23" s="118">
        <v>150658.8</v>
      </c>
      <c r="BN23" s="118">
        <v>26163.96</v>
      </c>
      <c r="BO23" s="118">
        <v>36456.48</v>
      </c>
      <c r="BP23" s="118">
        <v>28461.78</v>
      </c>
      <c r="BQ23" s="118">
        <v>9285.92</v>
      </c>
      <c r="BR23" s="118">
        <v>7390.8</v>
      </c>
      <c r="BS23" s="118">
        <v>0.0</v>
      </c>
      <c r="BT23" s="118">
        <v>60497.25</v>
      </c>
      <c r="BU23" s="118">
        <v>165101.73</v>
      </c>
      <c r="BV23" s="118">
        <v>2217.36</v>
      </c>
      <c r="BW23" s="118">
        <v>171859.34</v>
      </c>
      <c r="BX23" s="118">
        <v>48393.0</v>
      </c>
      <c r="BY23" s="118">
        <v>14865.75</v>
      </c>
      <c r="BZ23" s="118">
        <v>2807826.69</v>
      </c>
      <c r="CA23" s="118">
        <v>54616.2</v>
      </c>
      <c r="CB23" s="118">
        <v>0.0</v>
      </c>
      <c r="CC23" s="118">
        <v>0.0</v>
      </c>
      <c r="CD23" s="118">
        <v>15633.6</v>
      </c>
      <c r="CE23" s="118">
        <v>4500.78</v>
      </c>
      <c r="CF23" s="117">
        <v>0.0</v>
      </c>
      <c r="CG23" s="119">
        <v>74750.57999999999</v>
      </c>
      <c r="CH23" s="119"/>
      <c r="CI23" s="119">
        <v>9785.0</v>
      </c>
      <c r="CJ23" s="119">
        <v>0.0</v>
      </c>
      <c r="CK23" s="116">
        <v>7.28</v>
      </c>
      <c r="CL23" s="116">
        <v>0.15</v>
      </c>
      <c r="CM23" s="116">
        <v>0.66</v>
      </c>
      <c r="CN23" s="116">
        <v>0.68</v>
      </c>
      <c r="CO23" s="116">
        <v>8.77</v>
      </c>
      <c r="CP23" s="120">
        <v>17.0</v>
      </c>
      <c r="CQ23" s="120">
        <v>15.0</v>
      </c>
      <c r="CR23" s="120">
        <v>0.0</v>
      </c>
      <c r="CS23" s="120">
        <v>0.0</v>
      </c>
      <c r="CT23" s="120">
        <v>14.0</v>
      </c>
      <c r="CU23" s="120">
        <v>7.0</v>
      </c>
      <c r="CV23" s="120">
        <v>0.0</v>
      </c>
      <c r="CW23" s="120">
        <v>0.0</v>
      </c>
      <c r="CX23" s="120">
        <v>19.0</v>
      </c>
      <c r="CY23" s="120">
        <v>11.0</v>
      </c>
      <c r="CZ23" s="120">
        <v>0.0</v>
      </c>
      <c r="DA23" s="120">
        <v>0.0</v>
      </c>
      <c r="DB23" s="120">
        <v>10.0</v>
      </c>
      <c r="DC23" s="120">
        <v>7.0</v>
      </c>
      <c r="DD23" s="120">
        <v>7.0</v>
      </c>
      <c r="DE23" s="121"/>
      <c r="DF23" s="122"/>
      <c r="DG23" s="122"/>
      <c r="DH23" s="122"/>
      <c r="DI23" s="122"/>
      <c r="DJ23" s="122"/>
      <c r="DK23" s="122"/>
      <c r="DL23" s="122"/>
      <c r="DM23" s="122"/>
      <c r="DN23" s="122"/>
      <c r="DO23" s="122"/>
      <c r="DP23" s="122"/>
    </row>
    <row r="24">
      <c r="A24" s="115">
        <v>2042860.0</v>
      </c>
      <c r="B24" s="115" t="s">
        <v>400</v>
      </c>
      <c r="C24" s="115" t="s">
        <v>379</v>
      </c>
      <c r="D24" s="115" t="s">
        <v>17</v>
      </c>
      <c r="E24" s="115">
        <v>357.0</v>
      </c>
      <c r="F24" s="115">
        <v>0.0</v>
      </c>
      <c r="G24" s="115">
        <v>0.0</v>
      </c>
      <c r="H24" s="116">
        <v>1825398.12</v>
      </c>
      <c r="I24" s="115">
        <v>182.0</v>
      </c>
      <c r="J24" s="115">
        <v>0.0</v>
      </c>
      <c r="K24" s="116">
        <v>108681.3</v>
      </c>
      <c r="L24" s="115">
        <v>185.0</v>
      </c>
      <c r="M24" s="115">
        <v>0.0</v>
      </c>
      <c r="N24" s="116">
        <v>264698.0</v>
      </c>
      <c r="O24" s="115">
        <v>46.52124646</v>
      </c>
      <c r="P24" s="115">
        <v>106.1898017</v>
      </c>
      <c r="Q24" s="115">
        <v>47.5325779</v>
      </c>
      <c r="R24" s="115">
        <v>118.325779</v>
      </c>
      <c r="S24" s="115">
        <v>23.26062323</v>
      </c>
      <c r="T24" s="115">
        <v>3.033994334</v>
      </c>
      <c r="U24" s="115">
        <v>0.0</v>
      </c>
      <c r="V24" s="115">
        <v>0.0</v>
      </c>
      <c r="W24" s="115">
        <v>0.0</v>
      </c>
      <c r="X24" s="115">
        <v>0.0</v>
      </c>
      <c r="Y24" s="115">
        <v>0.0</v>
      </c>
      <c r="Z24" s="115">
        <v>0.0</v>
      </c>
      <c r="AA24" s="116">
        <v>162239.25</v>
      </c>
      <c r="AB24" s="115">
        <v>80.26510067</v>
      </c>
      <c r="AC24" s="115">
        <v>0.0</v>
      </c>
      <c r="AD24" s="116">
        <v>57896.02</v>
      </c>
      <c r="AE24" s="115">
        <v>137.8404172</v>
      </c>
      <c r="AF24" s="115">
        <v>0.0</v>
      </c>
      <c r="AG24" s="116">
        <v>195592.8</v>
      </c>
      <c r="AH24" s="115">
        <v>11.67269663</v>
      </c>
      <c r="AI24" s="115">
        <v>0.0</v>
      </c>
      <c r="AJ24" s="116">
        <v>13595.66</v>
      </c>
      <c r="AK24" s="116">
        <v>180564.7</v>
      </c>
      <c r="AL24" s="116">
        <v>70750.0</v>
      </c>
      <c r="AM24" s="116">
        <v>2727410.46</v>
      </c>
      <c r="AN24" s="116">
        <v>84489.11</v>
      </c>
      <c r="AO24" s="116">
        <v>70750.0</v>
      </c>
      <c r="AP24" s="116">
        <v>300866.24</v>
      </c>
      <c r="AQ24" s="116">
        <v>2440283.33</v>
      </c>
      <c r="AR24" s="116">
        <v>332.0</v>
      </c>
      <c r="AS24" s="116">
        <v>7350.250994</v>
      </c>
      <c r="AT24" s="116">
        <v>7350.250994</v>
      </c>
      <c r="AU24" s="116">
        <v>2624039.605</v>
      </c>
      <c r="AV24" s="116">
        <v>70750.0</v>
      </c>
      <c r="AW24" s="116">
        <v>180564.7</v>
      </c>
      <c r="AX24" s="116">
        <v>2875354.3</v>
      </c>
      <c r="AY24" s="116">
        <v>0.0</v>
      </c>
      <c r="AZ24" s="116">
        <v>2879415.84</v>
      </c>
      <c r="BA24" s="116">
        <v>4291.14</v>
      </c>
      <c r="BB24" s="117">
        <v>6902.8</v>
      </c>
      <c r="BC24" s="116">
        <v>1206.66</v>
      </c>
      <c r="BD24" s="116">
        <v>1078.14</v>
      </c>
      <c r="BE24" s="116">
        <v>3141.6</v>
      </c>
      <c r="BF24" s="116">
        <v>9317.7</v>
      </c>
      <c r="BG24" s="116">
        <v>25938.04</v>
      </c>
      <c r="BH24" s="118">
        <v>332.0</v>
      </c>
      <c r="BI24" s="118">
        <v>1669206.3599999999</v>
      </c>
      <c r="BJ24" s="118">
        <v>0.0</v>
      </c>
      <c r="BK24" s="118">
        <v>0.0</v>
      </c>
      <c r="BL24" s="118">
        <v>104945.91</v>
      </c>
      <c r="BM24" s="118">
        <v>229754.67</v>
      </c>
      <c r="BN24" s="118">
        <v>8680.83</v>
      </c>
      <c r="BO24" s="118">
        <v>36337.82</v>
      </c>
      <c r="BP24" s="118">
        <v>22801.37</v>
      </c>
      <c r="BQ24" s="118">
        <v>70650.37</v>
      </c>
      <c r="BR24" s="118">
        <v>9914.12</v>
      </c>
      <c r="BS24" s="118">
        <v>816.25</v>
      </c>
      <c r="BT24" s="118">
        <v>55435.49</v>
      </c>
      <c r="BU24" s="118">
        <v>149007.87</v>
      </c>
      <c r="BV24" s="118">
        <v>6949.26</v>
      </c>
      <c r="BW24" s="118">
        <v>292160.88</v>
      </c>
      <c r="BX24" s="118">
        <v>70750.0</v>
      </c>
      <c r="BY24" s="118">
        <v>0.0</v>
      </c>
      <c r="BZ24" s="118">
        <v>2727411.2</v>
      </c>
      <c r="CA24" s="118">
        <v>45218.4</v>
      </c>
      <c r="CB24" s="118">
        <v>0.0</v>
      </c>
      <c r="CC24" s="118">
        <v>0.0</v>
      </c>
      <c r="CD24" s="118">
        <v>23841.239999999998</v>
      </c>
      <c r="CE24" s="118">
        <v>4500.78</v>
      </c>
      <c r="CF24" s="117">
        <v>12.0</v>
      </c>
      <c r="CG24" s="119">
        <v>73560.42</v>
      </c>
      <c r="CH24" s="119"/>
      <c r="CI24" s="119">
        <v>9435.0</v>
      </c>
      <c r="CJ24" s="116">
        <v>15080.0</v>
      </c>
      <c r="CK24" s="116">
        <v>7.28</v>
      </c>
      <c r="CL24" s="116">
        <v>0.19</v>
      </c>
      <c r="CM24" s="116">
        <v>0.0</v>
      </c>
      <c r="CN24" s="116">
        <v>0.68</v>
      </c>
      <c r="CO24" s="116">
        <v>8.15</v>
      </c>
      <c r="CP24" s="120">
        <v>30.0</v>
      </c>
      <c r="CQ24" s="120">
        <v>7.0</v>
      </c>
      <c r="CR24" s="120">
        <v>0.0</v>
      </c>
      <c r="CS24" s="120">
        <v>0.0</v>
      </c>
      <c r="CT24" s="120">
        <v>22.0</v>
      </c>
      <c r="CU24" s="120">
        <v>6.0</v>
      </c>
      <c r="CV24" s="120">
        <v>0.0</v>
      </c>
      <c r="CW24" s="120">
        <v>0.0</v>
      </c>
      <c r="CX24" s="120">
        <v>29.0</v>
      </c>
      <c r="CY24" s="120">
        <v>7.0</v>
      </c>
      <c r="CZ24" s="120">
        <v>0.0</v>
      </c>
      <c r="DA24" s="120">
        <v>0.0</v>
      </c>
      <c r="DB24" s="120">
        <v>2.0</v>
      </c>
      <c r="DC24" s="120">
        <v>0.0</v>
      </c>
      <c r="DD24" s="120">
        <v>1.0</v>
      </c>
      <c r="DE24" s="121"/>
      <c r="DF24" s="122"/>
      <c r="DG24" s="122"/>
      <c r="DH24" s="122"/>
      <c r="DI24" s="122"/>
      <c r="DJ24" s="122"/>
      <c r="DK24" s="122"/>
      <c r="DL24" s="122"/>
      <c r="DM24" s="122"/>
      <c r="DN24" s="122"/>
      <c r="DO24" s="122"/>
      <c r="DP24" s="122"/>
    </row>
    <row r="25">
      <c r="A25" s="115">
        <v>2042862.0</v>
      </c>
      <c r="B25" s="115" t="s">
        <v>401</v>
      </c>
      <c r="C25" s="115" t="s">
        <v>379</v>
      </c>
      <c r="D25" s="115" t="s">
        <v>17</v>
      </c>
      <c r="E25" s="115">
        <v>209.0</v>
      </c>
      <c r="F25" s="115">
        <v>0.0</v>
      </c>
      <c r="G25" s="115">
        <v>0.0</v>
      </c>
      <c r="H25" s="116">
        <v>1068650.44</v>
      </c>
      <c r="I25" s="115">
        <v>114.0</v>
      </c>
      <c r="J25" s="115">
        <v>0.0</v>
      </c>
      <c r="K25" s="116">
        <v>68075.1</v>
      </c>
      <c r="L25" s="115">
        <v>115.0</v>
      </c>
      <c r="M25" s="115">
        <v>0.0</v>
      </c>
      <c r="N25" s="116">
        <v>164542.0</v>
      </c>
      <c r="O25" s="115">
        <v>34.0</v>
      </c>
      <c r="P25" s="115">
        <v>23.0</v>
      </c>
      <c r="Q25" s="115">
        <v>81.0</v>
      </c>
      <c r="R25" s="115">
        <v>10.0</v>
      </c>
      <c r="S25" s="115">
        <v>23.0</v>
      </c>
      <c r="T25" s="115">
        <v>1.0</v>
      </c>
      <c r="U25" s="115">
        <v>0.0</v>
      </c>
      <c r="V25" s="115">
        <v>0.0</v>
      </c>
      <c r="W25" s="115">
        <v>0.0</v>
      </c>
      <c r="X25" s="115">
        <v>0.0</v>
      </c>
      <c r="Y25" s="115">
        <v>0.0</v>
      </c>
      <c r="Z25" s="115">
        <v>0.0</v>
      </c>
      <c r="AA25" s="116">
        <v>82271.26</v>
      </c>
      <c r="AB25" s="115">
        <v>44.23280423</v>
      </c>
      <c r="AC25" s="115">
        <v>0.0</v>
      </c>
      <c r="AD25" s="116">
        <v>31905.56</v>
      </c>
      <c r="AE25" s="115">
        <v>64.70673205</v>
      </c>
      <c r="AF25" s="115">
        <v>0.0</v>
      </c>
      <c r="AG25" s="116">
        <v>91817.56</v>
      </c>
      <c r="AH25" s="115">
        <v>8.46</v>
      </c>
      <c r="AI25" s="115">
        <v>0.0</v>
      </c>
      <c r="AJ25" s="116">
        <v>9853.7</v>
      </c>
      <c r="AK25" s="116">
        <v>306959.99</v>
      </c>
      <c r="AL25" s="116">
        <v>142915.0</v>
      </c>
      <c r="AM25" s="116">
        <v>1239834.12</v>
      </c>
      <c r="AN25" s="116">
        <v>40923.93</v>
      </c>
      <c r="AO25" s="116">
        <v>142915.0</v>
      </c>
      <c r="AP25" s="116">
        <v>306959.99</v>
      </c>
      <c r="AQ25" s="116">
        <v>830883.06</v>
      </c>
      <c r="AR25" s="116">
        <v>158.0</v>
      </c>
      <c r="AS25" s="116">
        <v>5258.753544</v>
      </c>
      <c r="AT25" s="116">
        <v>5258.753544</v>
      </c>
      <c r="AU25" s="116">
        <v>1099079.491</v>
      </c>
      <c r="AV25" s="116">
        <v>142915.0</v>
      </c>
      <c r="AW25" s="116">
        <v>306959.99</v>
      </c>
      <c r="AX25" s="116">
        <v>1548954.48</v>
      </c>
      <c r="AY25" s="116">
        <v>0.0</v>
      </c>
      <c r="AZ25" s="116">
        <v>1966990.61</v>
      </c>
      <c r="BA25" s="116">
        <v>2512.18</v>
      </c>
      <c r="BB25" s="117">
        <v>3804.02</v>
      </c>
      <c r="BC25" s="116">
        <v>706.42</v>
      </c>
      <c r="BD25" s="116">
        <v>631.18</v>
      </c>
      <c r="BE25" s="116">
        <v>1839.2</v>
      </c>
      <c r="BF25" s="116">
        <v>5454.9</v>
      </c>
      <c r="BG25" s="116">
        <v>14947.9</v>
      </c>
      <c r="BH25" s="118">
        <v>158.0</v>
      </c>
      <c r="BI25" s="118">
        <v>794381.34</v>
      </c>
      <c r="BJ25" s="118">
        <v>0.0</v>
      </c>
      <c r="BK25" s="118">
        <v>0.0</v>
      </c>
      <c r="BL25" s="118">
        <v>42799.17</v>
      </c>
      <c r="BM25" s="118">
        <v>91650.77</v>
      </c>
      <c r="BN25" s="118">
        <v>7515.18</v>
      </c>
      <c r="BO25" s="118">
        <v>4725.84</v>
      </c>
      <c r="BP25" s="118">
        <v>40057.32</v>
      </c>
      <c r="BQ25" s="118">
        <v>7544.81</v>
      </c>
      <c r="BR25" s="118">
        <v>10470.3</v>
      </c>
      <c r="BS25" s="118">
        <v>0.0</v>
      </c>
      <c r="BT25" s="118">
        <v>27236.04</v>
      </c>
      <c r="BU25" s="118">
        <v>57613.81</v>
      </c>
      <c r="BV25" s="118">
        <v>5166.22</v>
      </c>
      <c r="BW25" s="118">
        <v>171859.34</v>
      </c>
      <c r="BX25" s="118">
        <v>142915.0</v>
      </c>
      <c r="BY25" s="118">
        <v>7758.32</v>
      </c>
      <c r="BZ25" s="118">
        <v>1411693.46</v>
      </c>
      <c r="CA25" s="118">
        <v>21519.600000000002</v>
      </c>
      <c r="CB25" s="118">
        <v>0.0</v>
      </c>
      <c r="CC25" s="118">
        <v>0.0</v>
      </c>
      <c r="CD25" s="118">
        <v>9510.44</v>
      </c>
      <c r="CE25" s="118">
        <v>4500.78</v>
      </c>
      <c r="CF25" s="117">
        <v>10.0</v>
      </c>
      <c r="CG25" s="119">
        <v>35530.82</v>
      </c>
      <c r="CH25" s="119"/>
      <c r="CI25" s="119">
        <v>8720.0</v>
      </c>
      <c r="CJ25" s="116">
        <v>15080.0</v>
      </c>
      <c r="CK25" s="116">
        <v>7.28</v>
      </c>
      <c r="CL25" s="116">
        <v>0.19</v>
      </c>
      <c r="CM25" s="116">
        <v>0.99</v>
      </c>
      <c r="CN25" s="116">
        <v>0.68</v>
      </c>
      <c r="CO25" s="116">
        <v>9.14</v>
      </c>
      <c r="CP25" s="120">
        <v>19.0</v>
      </c>
      <c r="CQ25" s="120">
        <v>0.0</v>
      </c>
      <c r="CR25" s="120">
        <v>0.0</v>
      </c>
      <c r="CS25" s="120">
        <v>0.0</v>
      </c>
      <c r="CT25" s="120">
        <v>4.0</v>
      </c>
      <c r="CU25" s="120">
        <v>0.0</v>
      </c>
      <c r="CV25" s="120">
        <v>0.0</v>
      </c>
      <c r="CW25" s="120">
        <v>0.0</v>
      </c>
      <c r="CX25" s="120">
        <v>18.0</v>
      </c>
      <c r="CY25" s="120">
        <v>0.0</v>
      </c>
      <c r="CZ25" s="120">
        <v>0.0</v>
      </c>
      <c r="DA25" s="120">
        <v>0.0</v>
      </c>
      <c r="DB25" s="120">
        <v>7.0</v>
      </c>
      <c r="DC25" s="120">
        <v>2.0</v>
      </c>
      <c r="DD25" s="120">
        <v>3.0</v>
      </c>
      <c r="DE25" s="121"/>
      <c r="DF25" s="122"/>
      <c r="DG25" s="122"/>
      <c r="DH25" s="122"/>
      <c r="DI25" s="122"/>
      <c r="DJ25" s="122"/>
      <c r="DK25" s="122"/>
      <c r="DL25" s="122"/>
      <c r="DM25" s="122"/>
      <c r="DN25" s="122"/>
      <c r="DO25" s="122"/>
      <c r="DP25" s="122"/>
    </row>
    <row r="26">
      <c r="A26" s="115">
        <v>2042863.0</v>
      </c>
      <c r="B26" s="115" t="s">
        <v>402</v>
      </c>
      <c r="C26" s="115" t="s">
        <v>379</v>
      </c>
      <c r="D26" s="115" t="s">
        <v>17</v>
      </c>
      <c r="E26" s="115">
        <v>361.0</v>
      </c>
      <c r="F26" s="115">
        <v>0.0</v>
      </c>
      <c r="G26" s="115">
        <v>0.0</v>
      </c>
      <c r="H26" s="116">
        <v>1845850.76</v>
      </c>
      <c r="I26" s="115">
        <v>171.0</v>
      </c>
      <c r="J26" s="115">
        <v>0.0</v>
      </c>
      <c r="K26" s="116">
        <v>102112.65</v>
      </c>
      <c r="L26" s="115">
        <v>174.0</v>
      </c>
      <c r="M26" s="115">
        <v>0.0</v>
      </c>
      <c r="N26" s="116">
        <v>248959.2</v>
      </c>
      <c r="O26" s="115">
        <v>64.0</v>
      </c>
      <c r="P26" s="115">
        <v>45.0</v>
      </c>
      <c r="Q26" s="115">
        <v>44.0</v>
      </c>
      <c r="R26" s="115">
        <v>9.0</v>
      </c>
      <c r="S26" s="115">
        <v>60.0</v>
      </c>
      <c r="T26" s="115">
        <v>11.0</v>
      </c>
      <c r="U26" s="115">
        <v>0.0</v>
      </c>
      <c r="V26" s="115">
        <v>0.0</v>
      </c>
      <c r="W26" s="115">
        <v>0.0</v>
      </c>
      <c r="X26" s="115">
        <v>0.0</v>
      </c>
      <c r="Y26" s="115">
        <v>0.0</v>
      </c>
      <c r="Z26" s="115">
        <v>0.0</v>
      </c>
      <c r="AA26" s="116">
        <v>109296.82</v>
      </c>
      <c r="AB26" s="115">
        <v>128.6845426</v>
      </c>
      <c r="AC26" s="115">
        <v>0.0</v>
      </c>
      <c r="AD26" s="116">
        <v>92821.45</v>
      </c>
      <c r="AE26" s="115">
        <v>96.43178173</v>
      </c>
      <c r="AF26" s="115">
        <v>0.0</v>
      </c>
      <c r="AG26" s="116">
        <v>136834.77</v>
      </c>
      <c r="AH26" s="115">
        <v>4.34</v>
      </c>
      <c r="AI26" s="115">
        <v>0.0</v>
      </c>
      <c r="AJ26" s="116">
        <v>5054.97</v>
      </c>
      <c r="AK26" s="116">
        <v>306959.99</v>
      </c>
      <c r="AL26" s="116">
        <v>20084.75</v>
      </c>
      <c r="AM26" s="116">
        <v>1390780.06</v>
      </c>
      <c r="AN26" s="116">
        <v>48757.66</v>
      </c>
      <c r="AO26" s="116">
        <v>20084.75</v>
      </c>
      <c r="AP26" s="116">
        <v>306959.99</v>
      </c>
      <c r="AQ26" s="116">
        <v>1112492.98</v>
      </c>
      <c r="AR26" s="116">
        <v>204.0</v>
      </c>
      <c r="AS26" s="116">
        <v>5453.396961</v>
      </c>
      <c r="AT26" s="116">
        <v>5453.396961</v>
      </c>
      <c r="AU26" s="116">
        <v>1968676.303</v>
      </c>
      <c r="AV26" s="116">
        <v>20084.75</v>
      </c>
      <c r="AW26" s="116">
        <v>306959.99</v>
      </c>
      <c r="AX26" s="116">
        <v>2295721.04</v>
      </c>
      <c r="AY26" s="116">
        <v>0.0</v>
      </c>
      <c r="AZ26" s="116">
        <v>2867975.36</v>
      </c>
      <c r="BA26" s="116">
        <v>4339.22</v>
      </c>
      <c r="BB26" s="117">
        <v>11066.87</v>
      </c>
      <c r="BC26" s="116">
        <v>1220.18</v>
      </c>
      <c r="BD26" s="116">
        <v>1090.22</v>
      </c>
      <c r="BE26" s="116">
        <v>3176.8</v>
      </c>
      <c r="BF26" s="116">
        <v>9422.1</v>
      </c>
      <c r="BG26" s="116">
        <v>30315.39</v>
      </c>
      <c r="BH26" s="118">
        <v>204.0</v>
      </c>
      <c r="BI26" s="118">
        <v>1025656.9199999999</v>
      </c>
      <c r="BJ26" s="118">
        <v>0.0</v>
      </c>
      <c r="BK26" s="118">
        <v>0.0</v>
      </c>
      <c r="BL26" s="118">
        <v>45144.33</v>
      </c>
      <c r="BM26" s="118">
        <v>96672.73</v>
      </c>
      <c r="BN26" s="118">
        <v>13917.0</v>
      </c>
      <c r="BO26" s="118">
        <v>5400.96</v>
      </c>
      <c r="BP26" s="118">
        <v>18447.45</v>
      </c>
      <c r="BQ26" s="118">
        <v>2901.85</v>
      </c>
      <c r="BR26" s="118">
        <v>12933.9</v>
      </c>
      <c r="BS26" s="118">
        <v>3245.32</v>
      </c>
      <c r="BT26" s="118">
        <v>56183.99</v>
      </c>
      <c r="BU26" s="118">
        <v>74463.83</v>
      </c>
      <c r="BV26" s="118">
        <v>15727.27</v>
      </c>
      <c r="BW26" s="118">
        <v>171859.34</v>
      </c>
      <c r="BX26" s="118">
        <v>20084.75</v>
      </c>
      <c r="BY26" s="118">
        <v>0.0</v>
      </c>
      <c r="BZ26" s="118">
        <v>1562639.64</v>
      </c>
      <c r="CA26" s="118">
        <v>27784.800000000003</v>
      </c>
      <c r="CB26" s="118">
        <v>0.0</v>
      </c>
      <c r="CC26" s="118">
        <v>0.0</v>
      </c>
      <c r="CD26" s="118">
        <v>10031.56</v>
      </c>
      <c r="CE26" s="118">
        <v>4500.78</v>
      </c>
      <c r="CF26" s="117">
        <v>10.0</v>
      </c>
      <c r="CG26" s="119">
        <v>42317.14</v>
      </c>
      <c r="CH26" s="119"/>
      <c r="CI26" s="119">
        <v>8890.0</v>
      </c>
      <c r="CJ26" s="116">
        <v>2992.0</v>
      </c>
      <c r="CK26" s="116">
        <v>7.28</v>
      </c>
      <c r="CL26" s="116">
        <v>0.18</v>
      </c>
      <c r="CM26" s="116">
        <v>0.37</v>
      </c>
      <c r="CN26" s="116">
        <v>0.68</v>
      </c>
      <c r="CO26" s="116">
        <v>8.51</v>
      </c>
      <c r="CP26" s="120">
        <v>11.0</v>
      </c>
      <c r="CQ26" s="120">
        <v>8.0</v>
      </c>
      <c r="CR26" s="120">
        <v>0.0</v>
      </c>
      <c r="CS26" s="120">
        <v>0.0</v>
      </c>
      <c r="CT26" s="120">
        <v>11.0</v>
      </c>
      <c r="CU26" s="120">
        <v>5.0</v>
      </c>
      <c r="CV26" s="120">
        <v>0.0</v>
      </c>
      <c r="CW26" s="120">
        <v>0.0</v>
      </c>
      <c r="CX26" s="120">
        <v>11.0</v>
      </c>
      <c r="CY26" s="120">
        <v>6.0</v>
      </c>
      <c r="CZ26" s="120">
        <v>0.0</v>
      </c>
      <c r="DA26" s="120">
        <v>0.0</v>
      </c>
      <c r="DB26" s="120">
        <v>9.0</v>
      </c>
      <c r="DC26" s="120">
        <v>3.0</v>
      </c>
      <c r="DD26" s="120">
        <v>6.0</v>
      </c>
      <c r="DE26" s="121"/>
      <c r="DF26" s="122"/>
      <c r="DG26" s="122"/>
      <c r="DH26" s="122"/>
      <c r="DI26" s="122"/>
      <c r="DJ26" s="122"/>
      <c r="DK26" s="122"/>
      <c r="DL26" s="122"/>
      <c r="DM26" s="122"/>
      <c r="DN26" s="122"/>
      <c r="DO26" s="122"/>
      <c r="DP26" s="122"/>
    </row>
    <row r="27">
      <c r="A27" s="115">
        <v>2042864.0</v>
      </c>
      <c r="B27" s="115" t="s">
        <v>403</v>
      </c>
      <c r="C27" s="115" t="s">
        <v>379</v>
      </c>
      <c r="D27" s="115" t="s">
        <v>17</v>
      </c>
      <c r="E27" s="115">
        <v>417.0</v>
      </c>
      <c r="F27" s="115">
        <v>0.0</v>
      </c>
      <c r="G27" s="115">
        <v>0.0</v>
      </c>
      <c r="H27" s="116">
        <v>2132187.72</v>
      </c>
      <c r="I27" s="115">
        <v>120.0</v>
      </c>
      <c r="J27" s="115">
        <v>0.0</v>
      </c>
      <c r="K27" s="116">
        <v>71658.0</v>
      </c>
      <c r="L27" s="115">
        <v>122.0</v>
      </c>
      <c r="M27" s="115">
        <v>0.0</v>
      </c>
      <c r="N27" s="116">
        <v>174557.6</v>
      </c>
      <c r="O27" s="115">
        <v>82.0</v>
      </c>
      <c r="P27" s="115">
        <v>62.0</v>
      </c>
      <c r="Q27" s="115">
        <v>41.0</v>
      </c>
      <c r="R27" s="115">
        <v>6.0</v>
      </c>
      <c r="S27" s="115">
        <v>12.0</v>
      </c>
      <c r="T27" s="115">
        <v>22.0</v>
      </c>
      <c r="U27" s="115">
        <v>0.0</v>
      </c>
      <c r="V27" s="115">
        <v>0.0</v>
      </c>
      <c r="W27" s="115">
        <v>0.0</v>
      </c>
      <c r="X27" s="115">
        <v>0.0</v>
      </c>
      <c r="Y27" s="115">
        <v>0.0</v>
      </c>
      <c r="Z27" s="115">
        <v>0.0</v>
      </c>
      <c r="AA27" s="116">
        <v>95870.11</v>
      </c>
      <c r="AB27" s="115">
        <v>68.72346369</v>
      </c>
      <c r="AC27" s="115">
        <v>0.0</v>
      </c>
      <c r="AD27" s="116">
        <v>49570.92</v>
      </c>
      <c r="AE27" s="115">
        <v>71.22721602</v>
      </c>
      <c r="AF27" s="115">
        <v>0.0</v>
      </c>
      <c r="AG27" s="116">
        <v>101069.99</v>
      </c>
      <c r="AH27" s="115">
        <v>5.98</v>
      </c>
      <c r="AI27" s="115">
        <v>0.0</v>
      </c>
      <c r="AJ27" s="116">
        <v>6965.15</v>
      </c>
      <c r="AK27" s="116">
        <v>180564.7</v>
      </c>
      <c r="AL27" s="116">
        <v>48959.0</v>
      </c>
      <c r="AM27" s="116">
        <v>2800101.2</v>
      </c>
      <c r="AN27" s="116">
        <v>86054.91</v>
      </c>
      <c r="AO27" s="116">
        <v>48959.0</v>
      </c>
      <c r="AP27" s="116">
        <v>180564.7</v>
      </c>
      <c r="AQ27" s="116">
        <v>2656632.41</v>
      </c>
      <c r="AR27" s="116">
        <v>410.0</v>
      </c>
      <c r="AS27" s="116">
        <v>6479.591244</v>
      </c>
      <c r="AT27" s="116">
        <v>6479.591244</v>
      </c>
      <c r="AU27" s="116">
        <v>2701989.549</v>
      </c>
      <c r="AV27" s="116">
        <v>48959.0</v>
      </c>
      <c r="AW27" s="116">
        <v>180564.7</v>
      </c>
      <c r="AX27" s="116">
        <v>2931513.25</v>
      </c>
      <c r="AY27" s="116">
        <v>70110.06</v>
      </c>
      <c r="AZ27" s="116">
        <v>2931513.25</v>
      </c>
      <c r="BA27" s="116">
        <v>5012.34</v>
      </c>
      <c r="BB27" s="117">
        <v>5910.22</v>
      </c>
      <c r="BC27" s="116">
        <v>1409.46</v>
      </c>
      <c r="BD27" s="116">
        <v>1259.34</v>
      </c>
      <c r="BE27" s="116">
        <v>3669.6</v>
      </c>
      <c r="BF27" s="116">
        <v>10883.7</v>
      </c>
      <c r="BG27" s="116">
        <v>28144.66</v>
      </c>
      <c r="BH27" s="118">
        <v>410.0</v>
      </c>
      <c r="BI27" s="118">
        <v>2061369.2999999998</v>
      </c>
      <c r="BJ27" s="118">
        <v>0.0</v>
      </c>
      <c r="BK27" s="118">
        <v>0.0</v>
      </c>
      <c r="BL27" s="118">
        <v>64491.9</v>
      </c>
      <c r="BM27" s="118">
        <v>138103.9</v>
      </c>
      <c r="BN27" s="118">
        <v>22600.66</v>
      </c>
      <c r="BO27" s="118">
        <v>23010.2</v>
      </c>
      <c r="BP27" s="118">
        <v>17964.2</v>
      </c>
      <c r="BQ27" s="118">
        <v>2327.16</v>
      </c>
      <c r="BR27" s="118">
        <v>8026.28</v>
      </c>
      <c r="BS27" s="118">
        <v>14639.65</v>
      </c>
      <c r="BT27" s="118">
        <v>50357.99</v>
      </c>
      <c r="BU27" s="118">
        <v>82285.24</v>
      </c>
      <c r="BV27" s="118">
        <v>11886.89</v>
      </c>
      <c r="BW27" s="118">
        <v>171859.34</v>
      </c>
      <c r="BX27" s="118">
        <v>48959.0</v>
      </c>
      <c r="BY27" s="118">
        <v>82219.5</v>
      </c>
      <c r="BZ27" s="118">
        <v>2800101.2</v>
      </c>
      <c r="CA27" s="118">
        <v>55842.0</v>
      </c>
      <c r="CB27" s="118">
        <v>0.0</v>
      </c>
      <c r="CC27" s="118">
        <v>0.0</v>
      </c>
      <c r="CD27" s="118">
        <v>14330.8</v>
      </c>
      <c r="CE27" s="118">
        <v>4500.78</v>
      </c>
      <c r="CF27" s="117">
        <v>0.0</v>
      </c>
      <c r="CG27" s="119">
        <v>74673.58</v>
      </c>
      <c r="CH27" s="119"/>
      <c r="CI27" s="119">
        <v>9770.0</v>
      </c>
      <c r="CJ27" s="119">
        <v>0.0</v>
      </c>
      <c r="CK27" s="116">
        <v>7.28</v>
      </c>
      <c r="CL27" s="116">
        <v>0.14</v>
      </c>
      <c r="CM27" s="116">
        <v>0.1</v>
      </c>
      <c r="CN27" s="116">
        <v>0.68</v>
      </c>
      <c r="CO27" s="116">
        <v>8.2</v>
      </c>
      <c r="CP27" s="120">
        <v>34.0</v>
      </c>
      <c r="CQ27" s="120">
        <v>25.0</v>
      </c>
      <c r="CR27" s="120">
        <v>0.0</v>
      </c>
      <c r="CS27" s="120">
        <v>0.0</v>
      </c>
      <c r="CT27" s="120">
        <v>20.0</v>
      </c>
      <c r="CU27" s="120">
        <v>18.0</v>
      </c>
      <c r="CV27" s="120">
        <v>0.0</v>
      </c>
      <c r="CW27" s="120">
        <v>0.0</v>
      </c>
      <c r="CX27" s="120">
        <v>33.0</v>
      </c>
      <c r="CY27" s="120">
        <v>24.0</v>
      </c>
      <c r="CZ27" s="120">
        <v>0.0</v>
      </c>
      <c r="DA27" s="120">
        <v>0.0</v>
      </c>
      <c r="DB27" s="120">
        <v>11.0</v>
      </c>
      <c r="DC27" s="120">
        <v>2.0</v>
      </c>
      <c r="DD27" s="120">
        <v>26.0</v>
      </c>
      <c r="DE27" s="121"/>
      <c r="DF27" s="122"/>
      <c r="DG27" s="122"/>
      <c r="DH27" s="122"/>
      <c r="DI27" s="122"/>
      <c r="DJ27" s="122"/>
      <c r="DK27" s="122"/>
      <c r="DL27" s="122"/>
      <c r="DM27" s="122"/>
      <c r="DN27" s="122"/>
      <c r="DO27" s="122"/>
      <c r="DP27" s="122"/>
    </row>
    <row r="28">
      <c r="A28" s="115">
        <v>2042865.0</v>
      </c>
      <c r="B28" s="115" t="s">
        <v>404</v>
      </c>
      <c r="C28" s="115" t="s">
        <v>379</v>
      </c>
      <c r="D28" s="115" t="s">
        <v>17</v>
      </c>
      <c r="E28" s="115">
        <v>167.0</v>
      </c>
      <c r="F28" s="115">
        <v>0.0</v>
      </c>
      <c r="G28" s="115">
        <v>0.0</v>
      </c>
      <c r="H28" s="116">
        <v>853897.72</v>
      </c>
      <c r="I28" s="115">
        <v>88.0</v>
      </c>
      <c r="J28" s="115">
        <v>0.0</v>
      </c>
      <c r="K28" s="116">
        <v>52549.2</v>
      </c>
      <c r="L28" s="115">
        <v>89.0</v>
      </c>
      <c r="M28" s="115">
        <v>0.0</v>
      </c>
      <c r="N28" s="116">
        <v>127341.2</v>
      </c>
      <c r="O28" s="115">
        <v>25.0</v>
      </c>
      <c r="P28" s="115">
        <v>19.0</v>
      </c>
      <c r="Q28" s="115">
        <v>17.0</v>
      </c>
      <c r="R28" s="115">
        <v>14.0</v>
      </c>
      <c r="S28" s="115">
        <v>82.0</v>
      </c>
      <c r="T28" s="115">
        <v>5.0</v>
      </c>
      <c r="U28" s="115">
        <v>0.0</v>
      </c>
      <c r="V28" s="115">
        <v>0.0</v>
      </c>
      <c r="W28" s="115">
        <v>0.0</v>
      </c>
      <c r="X28" s="115">
        <v>0.0</v>
      </c>
      <c r="Y28" s="115">
        <v>0.0</v>
      </c>
      <c r="Z28" s="115">
        <v>0.0</v>
      </c>
      <c r="AA28" s="116">
        <v>86563.27</v>
      </c>
      <c r="AB28" s="115">
        <v>56.0729927</v>
      </c>
      <c r="AC28" s="115">
        <v>0.0</v>
      </c>
      <c r="AD28" s="116">
        <v>40446.01</v>
      </c>
      <c r="AE28" s="115">
        <v>62.60188261</v>
      </c>
      <c r="AF28" s="115">
        <v>0.0</v>
      </c>
      <c r="AG28" s="116">
        <v>88830.82</v>
      </c>
      <c r="AH28" s="115">
        <v>6.98</v>
      </c>
      <c r="AI28" s="115">
        <v>0.0</v>
      </c>
      <c r="AJ28" s="116">
        <v>8129.89</v>
      </c>
      <c r="AK28" s="116">
        <v>180564.7</v>
      </c>
      <c r="AL28" s="116">
        <v>25199.5</v>
      </c>
      <c r="AM28" s="116">
        <v>1405054.74</v>
      </c>
      <c r="AN28" s="116">
        <v>42792.94</v>
      </c>
      <c r="AO28" s="116">
        <v>25199.5</v>
      </c>
      <c r="AP28" s="116">
        <v>180564.7</v>
      </c>
      <c r="AQ28" s="116">
        <v>1242083.48</v>
      </c>
      <c r="AR28" s="116">
        <v>168.0</v>
      </c>
      <c r="AS28" s="116">
        <v>7393.354048</v>
      </c>
      <c r="AT28" s="116">
        <v>7393.354048</v>
      </c>
      <c r="AU28" s="116">
        <v>1234690.126</v>
      </c>
      <c r="AV28" s="116">
        <v>25199.5</v>
      </c>
      <c r="AW28" s="116">
        <v>180564.7</v>
      </c>
      <c r="AX28" s="116">
        <v>1440454.33</v>
      </c>
      <c r="AY28" s="116">
        <v>0.0</v>
      </c>
      <c r="AZ28" s="116">
        <v>1463522.3</v>
      </c>
      <c r="BA28" s="116">
        <v>2007.34</v>
      </c>
      <c r="BB28" s="117">
        <v>4822.28</v>
      </c>
      <c r="BC28" s="116">
        <v>564.46</v>
      </c>
      <c r="BD28" s="116">
        <v>504.34</v>
      </c>
      <c r="BE28" s="116">
        <v>1469.6</v>
      </c>
      <c r="BF28" s="116">
        <v>4358.7</v>
      </c>
      <c r="BG28" s="116">
        <v>13726.72</v>
      </c>
      <c r="BH28" s="118">
        <v>168.0</v>
      </c>
      <c r="BI28" s="118">
        <v>844658.6399999999</v>
      </c>
      <c r="BJ28" s="118">
        <v>0.0</v>
      </c>
      <c r="BK28" s="118">
        <v>0.0</v>
      </c>
      <c r="BL28" s="118">
        <v>42799.17</v>
      </c>
      <c r="BM28" s="118">
        <v>94161.75</v>
      </c>
      <c r="BN28" s="118">
        <v>6680.16</v>
      </c>
      <c r="BO28" s="118">
        <v>7763.88</v>
      </c>
      <c r="BP28" s="118">
        <v>9487.26</v>
      </c>
      <c r="BQ28" s="118">
        <v>5223.33</v>
      </c>
      <c r="BR28" s="118">
        <v>52967.4</v>
      </c>
      <c r="BS28" s="118">
        <v>4056.65</v>
      </c>
      <c r="BT28" s="118">
        <v>46690.84</v>
      </c>
      <c r="BU28" s="118">
        <v>86675.43</v>
      </c>
      <c r="BV28" s="118">
        <v>6766.38</v>
      </c>
      <c r="BW28" s="118">
        <v>171859.34</v>
      </c>
      <c r="BX28" s="118">
        <v>25199.5</v>
      </c>
      <c r="BY28" s="118">
        <v>65.0</v>
      </c>
      <c r="BZ28" s="118">
        <v>1405054.73</v>
      </c>
      <c r="CA28" s="118">
        <v>22881.6</v>
      </c>
      <c r="CB28" s="118">
        <v>0.0</v>
      </c>
      <c r="CC28" s="118">
        <v>0.0</v>
      </c>
      <c r="CD28" s="118">
        <v>9771.0</v>
      </c>
      <c r="CE28" s="118">
        <v>4500.78</v>
      </c>
      <c r="CF28" s="117">
        <v>0.0</v>
      </c>
      <c r="CG28" s="119">
        <v>37153.38</v>
      </c>
      <c r="CH28" s="119"/>
      <c r="CI28" s="119">
        <v>8685.0</v>
      </c>
      <c r="CJ28" s="119">
        <v>0.0</v>
      </c>
      <c r="CK28" s="116">
        <v>7.28</v>
      </c>
      <c r="CL28" s="116">
        <v>0.21</v>
      </c>
      <c r="CM28" s="116">
        <v>0.38</v>
      </c>
      <c r="CN28" s="116">
        <v>0.68</v>
      </c>
      <c r="CO28" s="116">
        <v>8.55</v>
      </c>
      <c r="CP28" s="120">
        <v>21.0</v>
      </c>
      <c r="CQ28" s="120">
        <v>8.0</v>
      </c>
      <c r="CR28" s="120">
        <v>0.0</v>
      </c>
      <c r="CS28" s="120">
        <v>0.0</v>
      </c>
      <c r="CT28" s="120">
        <v>16.0</v>
      </c>
      <c r="CU28" s="120">
        <v>5.0</v>
      </c>
      <c r="CV28" s="120">
        <v>0.0</v>
      </c>
      <c r="CW28" s="120">
        <v>0.0</v>
      </c>
      <c r="CX28" s="120">
        <v>14.0</v>
      </c>
      <c r="CY28" s="120">
        <v>9.0</v>
      </c>
      <c r="CZ28" s="120">
        <v>0.0</v>
      </c>
      <c r="DA28" s="120">
        <v>0.0</v>
      </c>
      <c r="DB28" s="120">
        <v>8.0</v>
      </c>
      <c r="DC28" s="120">
        <v>4.0</v>
      </c>
      <c r="DD28" s="120">
        <v>9.0</v>
      </c>
      <c r="DE28" s="121"/>
      <c r="DF28" s="122"/>
      <c r="DG28" s="122"/>
      <c r="DH28" s="122"/>
      <c r="DI28" s="122"/>
      <c r="DJ28" s="122"/>
      <c r="DK28" s="122"/>
      <c r="DL28" s="122"/>
      <c r="DM28" s="122"/>
      <c r="DN28" s="122"/>
      <c r="DO28" s="122"/>
      <c r="DP28" s="122"/>
    </row>
    <row r="29">
      <c r="A29" s="115">
        <v>2042872.0</v>
      </c>
      <c r="B29" s="115" t="s">
        <v>405</v>
      </c>
      <c r="C29" s="115" t="s">
        <v>379</v>
      </c>
      <c r="D29" s="115" t="s">
        <v>17</v>
      </c>
      <c r="E29" s="115">
        <v>224.0</v>
      </c>
      <c r="F29" s="115">
        <v>0.0</v>
      </c>
      <c r="G29" s="115">
        <v>0.0</v>
      </c>
      <c r="H29" s="116">
        <v>1145347.84</v>
      </c>
      <c r="I29" s="115">
        <v>141.0</v>
      </c>
      <c r="J29" s="115">
        <v>0.0</v>
      </c>
      <c r="K29" s="116">
        <v>84198.15</v>
      </c>
      <c r="L29" s="115">
        <v>142.0</v>
      </c>
      <c r="M29" s="115">
        <v>0.0</v>
      </c>
      <c r="N29" s="116">
        <v>203173.6</v>
      </c>
      <c r="O29" s="115">
        <v>36.0</v>
      </c>
      <c r="P29" s="115">
        <v>59.0</v>
      </c>
      <c r="Q29" s="115">
        <v>38.0</v>
      </c>
      <c r="R29" s="115">
        <v>58.0</v>
      </c>
      <c r="S29" s="115">
        <v>22.0</v>
      </c>
      <c r="T29" s="115">
        <v>4.0</v>
      </c>
      <c r="U29" s="115">
        <v>0.0</v>
      </c>
      <c r="V29" s="115">
        <v>0.0</v>
      </c>
      <c r="W29" s="115">
        <v>0.0</v>
      </c>
      <c r="X29" s="115">
        <v>0.0</v>
      </c>
      <c r="Y29" s="115">
        <v>0.0</v>
      </c>
      <c r="Z29" s="115">
        <v>0.0</v>
      </c>
      <c r="AA29" s="116">
        <v>102284.72</v>
      </c>
      <c r="AB29" s="115">
        <v>62.67357513</v>
      </c>
      <c r="AC29" s="115">
        <v>0.0</v>
      </c>
      <c r="AD29" s="116">
        <v>45207.08</v>
      </c>
      <c r="AE29" s="115">
        <v>83.83126383</v>
      </c>
      <c r="AF29" s="115">
        <v>0.0</v>
      </c>
      <c r="AG29" s="116">
        <v>118954.89</v>
      </c>
      <c r="AH29" s="115">
        <v>9.56</v>
      </c>
      <c r="AI29" s="115">
        <v>0.0</v>
      </c>
      <c r="AJ29" s="116">
        <v>11134.91</v>
      </c>
      <c r="AK29" s="116">
        <v>180564.7</v>
      </c>
      <c r="AL29" s="116">
        <v>40404.0</v>
      </c>
      <c r="AM29" s="116">
        <v>1875497.68</v>
      </c>
      <c r="AN29" s="116">
        <v>60616.03</v>
      </c>
      <c r="AO29" s="116">
        <v>40404.0</v>
      </c>
      <c r="AP29" s="116">
        <v>180564.7</v>
      </c>
      <c r="AQ29" s="116">
        <v>1715145.01</v>
      </c>
      <c r="AR29" s="116">
        <v>228.0</v>
      </c>
      <c r="AS29" s="116">
        <v>7522.565833</v>
      </c>
      <c r="AT29" s="116">
        <v>7522.565833</v>
      </c>
      <c r="AU29" s="116">
        <v>1685054.747</v>
      </c>
      <c r="AV29" s="116">
        <v>40404.0</v>
      </c>
      <c r="AW29" s="116">
        <v>180564.7</v>
      </c>
      <c r="AX29" s="116">
        <v>1906023.45</v>
      </c>
      <c r="AY29" s="116">
        <v>0.0</v>
      </c>
      <c r="AZ29" s="116">
        <v>1931269.89</v>
      </c>
      <c r="BA29" s="116">
        <v>2692.48</v>
      </c>
      <c r="BB29" s="117">
        <v>5389.93</v>
      </c>
      <c r="BC29" s="116">
        <v>757.12</v>
      </c>
      <c r="BD29" s="116">
        <v>676.48</v>
      </c>
      <c r="BE29" s="116">
        <v>1971.2</v>
      </c>
      <c r="BF29" s="116">
        <v>5846.4</v>
      </c>
      <c r="BG29" s="116">
        <v>17333.61</v>
      </c>
      <c r="BH29" s="118">
        <v>228.0</v>
      </c>
      <c r="BI29" s="118">
        <v>1146322.44</v>
      </c>
      <c r="BJ29" s="118">
        <v>0.0</v>
      </c>
      <c r="BK29" s="118">
        <v>0.0</v>
      </c>
      <c r="BL29" s="118">
        <v>76803.99</v>
      </c>
      <c r="BM29" s="118">
        <v>165724.68</v>
      </c>
      <c r="BN29" s="118">
        <v>9741.9</v>
      </c>
      <c r="BO29" s="118">
        <v>19916.04</v>
      </c>
      <c r="BP29" s="118">
        <v>15812.1</v>
      </c>
      <c r="BQ29" s="118">
        <v>34822.2</v>
      </c>
      <c r="BR29" s="118">
        <v>14781.6</v>
      </c>
      <c r="BS29" s="118">
        <v>4056.65</v>
      </c>
      <c r="BT29" s="118">
        <v>46699.65</v>
      </c>
      <c r="BU29" s="118">
        <v>115615.14</v>
      </c>
      <c r="BV29" s="118">
        <v>12938.42</v>
      </c>
      <c r="BW29" s="118">
        <v>171859.34</v>
      </c>
      <c r="BX29" s="118">
        <v>40404.0</v>
      </c>
      <c r="BY29" s="118">
        <v>0.0</v>
      </c>
      <c r="BZ29" s="118">
        <v>1875498.14</v>
      </c>
      <c r="CA29" s="118">
        <v>31053.6</v>
      </c>
      <c r="CB29" s="118">
        <v>0.0</v>
      </c>
      <c r="CC29" s="118">
        <v>0.0</v>
      </c>
      <c r="CD29" s="118">
        <v>17196.96</v>
      </c>
      <c r="CE29" s="118">
        <v>4500.78</v>
      </c>
      <c r="CF29" s="117">
        <v>0.0</v>
      </c>
      <c r="CG29" s="119">
        <v>52751.34</v>
      </c>
      <c r="CH29" s="119"/>
      <c r="CI29" s="119">
        <v>9000.0</v>
      </c>
      <c r="CJ29" s="119">
        <v>0.0</v>
      </c>
      <c r="CK29" s="116">
        <v>7.28</v>
      </c>
      <c r="CL29" s="116">
        <v>0.19</v>
      </c>
      <c r="CM29" s="116">
        <v>1.98</v>
      </c>
      <c r="CN29" s="116">
        <v>0.68</v>
      </c>
      <c r="CO29" s="116">
        <v>10.13</v>
      </c>
      <c r="CP29" s="120">
        <v>27.0</v>
      </c>
      <c r="CQ29" s="120">
        <v>5.0</v>
      </c>
      <c r="CR29" s="120">
        <v>3.0</v>
      </c>
      <c r="CS29" s="120">
        <v>0.0</v>
      </c>
      <c r="CT29" s="120">
        <v>17.0</v>
      </c>
      <c r="CU29" s="120">
        <v>1.0</v>
      </c>
      <c r="CV29" s="120">
        <v>3.0</v>
      </c>
      <c r="CW29" s="120">
        <v>0.0</v>
      </c>
      <c r="CX29" s="120">
        <v>19.0</v>
      </c>
      <c r="CY29" s="120">
        <v>7.0</v>
      </c>
      <c r="CZ29" s="120">
        <v>3.0</v>
      </c>
      <c r="DA29" s="120">
        <v>0.0</v>
      </c>
      <c r="DB29" s="120">
        <v>31.0</v>
      </c>
      <c r="DC29" s="120">
        <v>18.0</v>
      </c>
      <c r="DD29" s="120">
        <v>14.0</v>
      </c>
      <c r="DE29" s="121"/>
      <c r="DF29" s="122"/>
      <c r="DG29" s="122"/>
      <c r="DH29" s="122"/>
      <c r="DI29" s="122"/>
      <c r="DJ29" s="122"/>
      <c r="DK29" s="122"/>
      <c r="DL29" s="122"/>
      <c r="DM29" s="122"/>
      <c r="DN29" s="122"/>
      <c r="DO29" s="122"/>
      <c r="DP29" s="122"/>
    </row>
    <row r="30">
      <c r="A30" s="115">
        <v>2042896.0</v>
      </c>
      <c r="B30" s="115" t="s">
        <v>406</v>
      </c>
      <c r="C30" s="115" t="s">
        <v>379</v>
      </c>
      <c r="D30" s="115" t="s">
        <v>17</v>
      </c>
      <c r="E30" s="115">
        <v>231.0</v>
      </c>
      <c r="F30" s="115">
        <v>0.0</v>
      </c>
      <c r="G30" s="115">
        <v>0.0</v>
      </c>
      <c r="H30" s="116">
        <v>1181139.96</v>
      </c>
      <c r="I30" s="115">
        <v>132.0</v>
      </c>
      <c r="J30" s="115">
        <v>0.0</v>
      </c>
      <c r="K30" s="116">
        <v>78823.8</v>
      </c>
      <c r="L30" s="115">
        <v>133.0</v>
      </c>
      <c r="M30" s="115">
        <v>0.0</v>
      </c>
      <c r="N30" s="116">
        <v>190296.4</v>
      </c>
      <c r="O30" s="115">
        <v>23.1</v>
      </c>
      <c r="P30" s="115">
        <v>72.31304348</v>
      </c>
      <c r="Q30" s="115">
        <v>60.26086957</v>
      </c>
      <c r="R30" s="115">
        <v>29.12608696</v>
      </c>
      <c r="S30" s="115">
        <v>25.10869565</v>
      </c>
      <c r="T30" s="115">
        <v>7.030434783</v>
      </c>
      <c r="U30" s="115">
        <v>0.0</v>
      </c>
      <c r="V30" s="115">
        <v>0.0</v>
      </c>
      <c r="W30" s="115">
        <v>0.0</v>
      </c>
      <c r="X30" s="115">
        <v>0.0</v>
      </c>
      <c r="Y30" s="115">
        <v>0.0</v>
      </c>
      <c r="Z30" s="115">
        <v>0.0</v>
      </c>
      <c r="AA30" s="116">
        <v>102551.27</v>
      </c>
      <c r="AB30" s="115">
        <v>44.70967742</v>
      </c>
      <c r="AC30" s="115">
        <v>0.0</v>
      </c>
      <c r="AD30" s="116">
        <v>32249.54</v>
      </c>
      <c r="AE30" s="115">
        <v>62.071788</v>
      </c>
      <c r="AF30" s="115">
        <v>0.0</v>
      </c>
      <c r="AG30" s="116">
        <v>88078.63</v>
      </c>
      <c r="AH30" s="115">
        <v>5.14</v>
      </c>
      <c r="AI30" s="115">
        <v>0.0</v>
      </c>
      <c r="AJ30" s="116">
        <v>5986.76</v>
      </c>
      <c r="AK30" s="116">
        <v>180564.7</v>
      </c>
      <c r="AL30" s="116">
        <v>35217.0</v>
      </c>
      <c r="AM30" s="116">
        <v>1793187.17</v>
      </c>
      <c r="AN30" s="116">
        <v>58747.02</v>
      </c>
      <c r="AO30" s="116">
        <v>35217.0</v>
      </c>
      <c r="AP30" s="116">
        <v>180564.7</v>
      </c>
      <c r="AQ30" s="116">
        <v>1636152.49</v>
      </c>
      <c r="AR30" s="116">
        <v>218.0</v>
      </c>
      <c r="AS30" s="116">
        <v>7505.286651</v>
      </c>
      <c r="AT30" s="116">
        <v>7505.286651</v>
      </c>
      <c r="AU30" s="116">
        <v>1733721.216</v>
      </c>
      <c r="AV30" s="116">
        <v>35217.0</v>
      </c>
      <c r="AW30" s="116">
        <v>180564.7</v>
      </c>
      <c r="AX30" s="116">
        <v>1949502.92</v>
      </c>
      <c r="AY30" s="116">
        <v>54594.85</v>
      </c>
      <c r="AZ30" s="116">
        <v>1949502.92</v>
      </c>
      <c r="BA30" s="116">
        <v>2776.62</v>
      </c>
      <c r="BB30" s="117">
        <v>3845.03</v>
      </c>
      <c r="BC30" s="116">
        <v>780.78</v>
      </c>
      <c r="BD30" s="116">
        <v>697.62</v>
      </c>
      <c r="BE30" s="116">
        <v>2032.8</v>
      </c>
      <c r="BF30" s="116">
        <v>6029.1</v>
      </c>
      <c r="BG30" s="116">
        <v>16161.95</v>
      </c>
      <c r="BH30" s="118">
        <v>218.0</v>
      </c>
      <c r="BI30" s="118">
        <v>1096045.14</v>
      </c>
      <c r="BJ30" s="118">
        <v>0.0</v>
      </c>
      <c r="BK30" s="118">
        <v>0.0</v>
      </c>
      <c r="BL30" s="118">
        <v>75631.41</v>
      </c>
      <c r="BM30" s="118">
        <v>163213.7</v>
      </c>
      <c r="BN30" s="118">
        <v>7270.19</v>
      </c>
      <c r="BO30" s="118">
        <v>21025.17</v>
      </c>
      <c r="BP30" s="118">
        <v>34417.43</v>
      </c>
      <c r="BQ30" s="118">
        <v>13410.02</v>
      </c>
      <c r="BR30" s="118">
        <v>13612.24</v>
      </c>
      <c r="BS30" s="118">
        <v>4890.41</v>
      </c>
      <c r="BT30" s="118">
        <v>41179.48</v>
      </c>
      <c r="BU30" s="118">
        <v>86634.89</v>
      </c>
      <c r="BV30" s="118">
        <v>6766.38</v>
      </c>
      <c r="BW30" s="118">
        <v>171859.34</v>
      </c>
      <c r="BX30" s="118">
        <v>35217.0</v>
      </c>
      <c r="BY30" s="118">
        <v>22014.36</v>
      </c>
      <c r="BZ30" s="118">
        <v>1793187.17</v>
      </c>
      <c r="CA30" s="118">
        <v>29691.6</v>
      </c>
      <c r="CB30" s="118">
        <v>0.0</v>
      </c>
      <c r="CC30" s="118">
        <v>0.0</v>
      </c>
      <c r="CD30" s="118">
        <v>16936.4</v>
      </c>
      <c r="CE30" s="118">
        <v>4500.78</v>
      </c>
      <c r="CF30" s="117">
        <v>0.0</v>
      </c>
      <c r="CG30" s="119">
        <v>51128.78</v>
      </c>
      <c r="CH30" s="119"/>
      <c r="CI30" s="119">
        <v>9010.0</v>
      </c>
      <c r="CJ30" s="119">
        <v>0.0</v>
      </c>
      <c r="CK30" s="116">
        <v>7.28</v>
      </c>
      <c r="CL30" s="116">
        <v>0.18</v>
      </c>
      <c r="CM30" s="116">
        <v>0.79</v>
      </c>
      <c r="CN30" s="116">
        <v>0.68</v>
      </c>
      <c r="CO30" s="116">
        <v>8.93</v>
      </c>
      <c r="CP30" s="120">
        <v>14.0</v>
      </c>
      <c r="CQ30" s="120">
        <v>14.0</v>
      </c>
      <c r="CR30" s="120">
        <v>10.0</v>
      </c>
      <c r="CS30" s="120">
        <v>9.0</v>
      </c>
      <c r="CT30" s="120">
        <v>10.0</v>
      </c>
      <c r="CU30" s="120">
        <v>10.0</v>
      </c>
      <c r="CV30" s="120">
        <v>10.0</v>
      </c>
      <c r="CW30" s="120">
        <v>9.0</v>
      </c>
      <c r="CX30" s="120">
        <v>11.0</v>
      </c>
      <c r="CY30" s="120">
        <v>11.0</v>
      </c>
      <c r="CZ30" s="120">
        <v>10.0</v>
      </c>
      <c r="DA30" s="120">
        <v>9.0</v>
      </c>
      <c r="DB30" s="120">
        <v>15.0</v>
      </c>
      <c r="DC30" s="120">
        <v>8.0</v>
      </c>
      <c r="DD30" s="120">
        <v>8.0</v>
      </c>
      <c r="DE30" s="121"/>
      <c r="DF30" s="122"/>
      <c r="DG30" s="122"/>
      <c r="DH30" s="122"/>
      <c r="DI30" s="122"/>
      <c r="DJ30" s="122"/>
      <c r="DK30" s="122"/>
      <c r="DL30" s="122"/>
      <c r="DM30" s="122"/>
      <c r="DN30" s="122"/>
      <c r="DO30" s="122"/>
      <c r="DP30" s="122"/>
    </row>
    <row r="31">
      <c r="A31" s="115">
        <v>2042897.0</v>
      </c>
      <c r="B31" s="115" t="s">
        <v>407</v>
      </c>
      <c r="C31" s="115" t="s">
        <v>379</v>
      </c>
      <c r="D31" s="115" t="s">
        <v>17</v>
      </c>
      <c r="E31" s="115">
        <v>417.0</v>
      </c>
      <c r="F31" s="115">
        <v>0.0</v>
      </c>
      <c r="G31" s="115">
        <v>0.0</v>
      </c>
      <c r="H31" s="116">
        <v>2132187.72</v>
      </c>
      <c r="I31" s="115">
        <v>62.0</v>
      </c>
      <c r="J31" s="115">
        <v>0.0</v>
      </c>
      <c r="K31" s="116">
        <v>37023.3</v>
      </c>
      <c r="L31" s="115">
        <v>62.0</v>
      </c>
      <c r="M31" s="115">
        <v>0.0</v>
      </c>
      <c r="N31" s="116">
        <v>88709.6</v>
      </c>
      <c r="O31" s="115">
        <v>109.2620192</v>
      </c>
      <c r="P31" s="115">
        <v>72.17307692</v>
      </c>
      <c r="Q31" s="115">
        <v>10.02403846</v>
      </c>
      <c r="R31" s="115">
        <v>16.03846154</v>
      </c>
      <c r="S31" s="115">
        <v>12.02884615</v>
      </c>
      <c r="T31" s="115">
        <v>0.0</v>
      </c>
      <c r="U31" s="115">
        <v>0.0</v>
      </c>
      <c r="V31" s="115">
        <v>0.0</v>
      </c>
      <c r="W31" s="115">
        <v>0.0</v>
      </c>
      <c r="X31" s="115">
        <v>0.0</v>
      </c>
      <c r="Y31" s="115">
        <v>0.0</v>
      </c>
      <c r="Z31" s="115">
        <v>0.0</v>
      </c>
      <c r="AA31" s="116">
        <v>78172.56</v>
      </c>
      <c r="AB31" s="115">
        <v>99.00837989</v>
      </c>
      <c r="AC31" s="115">
        <v>0.0</v>
      </c>
      <c r="AD31" s="116">
        <v>71415.73</v>
      </c>
      <c r="AE31" s="115">
        <v>93.97303825</v>
      </c>
      <c r="AF31" s="115">
        <v>0.0</v>
      </c>
      <c r="AG31" s="116">
        <v>133345.86</v>
      </c>
      <c r="AH31" s="115">
        <v>0.0</v>
      </c>
      <c r="AI31" s="115">
        <v>0.0</v>
      </c>
      <c r="AJ31" s="116">
        <v>0.0</v>
      </c>
      <c r="AK31" s="116">
        <v>180564.7</v>
      </c>
      <c r="AL31" s="116">
        <v>50091.0</v>
      </c>
      <c r="AM31" s="116">
        <v>2797653.73</v>
      </c>
      <c r="AN31" s="116">
        <v>77536.59</v>
      </c>
      <c r="AO31" s="116">
        <v>50091.0</v>
      </c>
      <c r="AP31" s="116">
        <v>180564.7</v>
      </c>
      <c r="AQ31" s="116">
        <v>2644534.62</v>
      </c>
      <c r="AR31" s="116">
        <v>410.0</v>
      </c>
      <c r="AS31" s="116">
        <v>6450.084439</v>
      </c>
      <c r="AT31" s="116">
        <v>6450.084439</v>
      </c>
      <c r="AU31" s="116">
        <v>2689685.211</v>
      </c>
      <c r="AV31" s="116">
        <v>50091.0</v>
      </c>
      <c r="AW31" s="116">
        <v>180564.7</v>
      </c>
      <c r="AX31" s="116">
        <v>2920340.91</v>
      </c>
      <c r="AY31" s="116">
        <v>148830.43</v>
      </c>
      <c r="AZ31" s="116">
        <v>2920340.91</v>
      </c>
      <c r="BA31" s="116">
        <v>5012.34</v>
      </c>
      <c r="BB31" s="117">
        <v>8514.72</v>
      </c>
      <c r="BC31" s="116">
        <v>1409.46</v>
      </c>
      <c r="BD31" s="116">
        <v>1259.34</v>
      </c>
      <c r="BE31" s="116">
        <v>3669.6</v>
      </c>
      <c r="BF31" s="116">
        <v>10883.7</v>
      </c>
      <c r="BG31" s="116">
        <v>30749.16</v>
      </c>
      <c r="BH31" s="118">
        <v>410.0</v>
      </c>
      <c r="BI31" s="118">
        <v>2061369.2999999998</v>
      </c>
      <c r="BJ31" s="118">
        <v>0.0</v>
      </c>
      <c r="BK31" s="118">
        <v>0.0</v>
      </c>
      <c r="BL31" s="118">
        <v>29900.79</v>
      </c>
      <c r="BM31" s="118">
        <v>65285.48</v>
      </c>
      <c r="BN31" s="118">
        <v>28112.34</v>
      </c>
      <c r="BO31" s="118">
        <v>26667.24</v>
      </c>
      <c r="BP31" s="118">
        <v>4743.63</v>
      </c>
      <c r="BQ31" s="118">
        <v>11027.03</v>
      </c>
      <c r="BR31" s="118">
        <v>8006.7</v>
      </c>
      <c r="BS31" s="118">
        <v>0.0</v>
      </c>
      <c r="BT31" s="118">
        <v>64392.19</v>
      </c>
      <c r="BU31" s="118">
        <v>128484.36</v>
      </c>
      <c r="BV31" s="118">
        <v>0.0</v>
      </c>
      <c r="BW31" s="118">
        <v>171859.34</v>
      </c>
      <c r="BX31" s="118">
        <v>50091.0</v>
      </c>
      <c r="BY31" s="118">
        <v>147714.33</v>
      </c>
      <c r="BZ31" s="118">
        <v>2797653.73</v>
      </c>
      <c r="CA31" s="118">
        <v>55842.0</v>
      </c>
      <c r="CB31" s="118">
        <v>0.0</v>
      </c>
      <c r="CC31" s="118">
        <v>0.0</v>
      </c>
      <c r="CD31" s="118">
        <v>6774.5599999999995</v>
      </c>
      <c r="CE31" s="118">
        <v>4500.78</v>
      </c>
      <c r="CF31" s="117">
        <v>0.0</v>
      </c>
      <c r="CG31" s="119">
        <v>67117.34000000001</v>
      </c>
      <c r="CH31" s="119"/>
      <c r="CI31" s="119">
        <v>9770.0</v>
      </c>
      <c r="CJ31" s="119">
        <v>0.0</v>
      </c>
      <c r="CK31" s="116">
        <v>7.28</v>
      </c>
      <c r="CL31" s="116">
        <v>0.12</v>
      </c>
      <c r="CM31" s="116">
        <v>0.14</v>
      </c>
      <c r="CN31" s="116">
        <v>0.68</v>
      </c>
      <c r="CO31" s="116">
        <v>8.22</v>
      </c>
      <c r="CP31" s="120">
        <v>21.0</v>
      </c>
      <c r="CQ31" s="120">
        <v>5.0</v>
      </c>
      <c r="CR31" s="120">
        <v>0.0</v>
      </c>
      <c r="CS31" s="120">
        <v>0.0</v>
      </c>
      <c r="CT31" s="120">
        <v>6.0</v>
      </c>
      <c r="CU31" s="120">
        <v>8.0</v>
      </c>
      <c r="CV31" s="120">
        <v>0.0</v>
      </c>
      <c r="CW31" s="120">
        <v>0.0</v>
      </c>
      <c r="CX31" s="120">
        <v>22.0</v>
      </c>
      <c r="CY31" s="120">
        <v>5.0</v>
      </c>
      <c r="CZ31" s="120">
        <v>0.0</v>
      </c>
      <c r="DA31" s="120">
        <v>0.0</v>
      </c>
      <c r="DB31" s="120">
        <v>0.0</v>
      </c>
      <c r="DC31" s="120">
        <v>1.0</v>
      </c>
      <c r="DD31" s="120">
        <v>0.0</v>
      </c>
      <c r="DE31" s="121"/>
      <c r="DF31" s="122"/>
      <c r="DG31" s="122"/>
      <c r="DH31" s="122"/>
      <c r="DI31" s="122"/>
      <c r="DJ31" s="122"/>
      <c r="DK31" s="122"/>
      <c r="DL31" s="122"/>
      <c r="DM31" s="122"/>
      <c r="DN31" s="122"/>
      <c r="DO31" s="122"/>
      <c r="DP31" s="122"/>
    </row>
    <row r="32">
      <c r="A32" s="115">
        <v>2042898.0</v>
      </c>
      <c r="B32" s="115" t="s">
        <v>408</v>
      </c>
      <c r="C32" s="115" t="s">
        <v>379</v>
      </c>
      <c r="D32" s="115" t="s">
        <v>17</v>
      </c>
      <c r="E32" s="115">
        <v>320.0</v>
      </c>
      <c r="F32" s="115">
        <v>0.0</v>
      </c>
      <c r="G32" s="115">
        <v>0.0</v>
      </c>
      <c r="H32" s="116">
        <v>1636211.2</v>
      </c>
      <c r="I32" s="115">
        <v>195.0</v>
      </c>
      <c r="J32" s="115">
        <v>0.0</v>
      </c>
      <c r="K32" s="116">
        <v>116444.25</v>
      </c>
      <c r="L32" s="115">
        <v>198.0</v>
      </c>
      <c r="M32" s="115">
        <v>0.0</v>
      </c>
      <c r="N32" s="116">
        <v>283298.4</v>
      </c>
      <c r="O32" s="115">
        <v>6.0</v>
      </c>
      <c r="P32" s="115">
        <v>62.0</v>
      </c>
      <c r="Q32" s="115">
        <v>75.0</v>
      </c>
      <c r="R32" s="115">
        <v>73.0</v>
      </c>
      <c r="S32" s="115">
        <v>97.0</v>
      </c>
      <c r="T32" s="115">
        <v>4.0</v>
      </c>
      <c r="U32" s="115">
        <v>0.0</v>
      </c>
      <c r="V32" s="115">
        <v>0.0</v>
      </c>
      <c r="W32" s="115">
        <v>0.0</v>
      </c>
      <c r="X32" s="115">
        <v>0.0</v>
      </c>
      <c r="Y32" s="115">
        <v>0.0</v>
      </c>
      <c r="Z32" s="115">
        <v>0.0</v>
      </c>
      <c r="AA32" s="116">
        <v>170578.44</v>
      </c>
      <c r="AB32" s="115">
        <v>58.08219178</v>
      </c>
      <c r="AC32" s="115">
        <v>0.0</v>
      </c>
      <c r="AD32" s="116">
        <v>41895.27</v>
      </c>
      <c r="AE32" s="115">
        <v>82.07284202</v>
      </c>
      <c r="AF32" s="115">
        <v>0.0</v>
      </c>
      <c r="AG32" s="116">
        <v>116459.72</v>
      </c>
      <c r="AH32" s="115">
        <v>18.8</v>
      </c>
      <c r="AI32" s="115">
        <v>0.0</v>
      </c>
      <c r="AJ32" s="116">
        <v>21897.11</v>
      </c>
      <c r="AK32" s="116">
        <v>180564.7</v>
      </c>
      <c r="AL32" s="116">
        <v>42000.1</v>
      </c>
      <c r="AM32" s="116">
        <v>2803857.23</v>
      </c>
      <c r="AN32" s="116">
        <v>92990.85</v>
      </c>
      <c r="AO32" s="116">
        <v>42000.1</v>
      </c>
      <c r="AP32" s="116">
        <v>180564.7</v>
      </c>
      <c r="AQ32" s="116">
        <v>2674283.28</v>
      </c>
      <c r="AR32" s="116">
        <v>358.0</v>
      </c>
      <c r="AS32" s="116">
        <v>7470.065028</v>
      </c>
      <c r="AT32" s="116">
        <v>7470.065028</v>
      </c>
      <c r="AU32" s="116">
        <v>2390420.809</v>
      </c>
      <c r="AV32" s="116">
        <v>42000.1</v>
      </c>
      <c r="AW32" s="116">
        <v>180564.7</v>
      </c>
      <c r="AX32" s="116">
        <v>2612985.61</v>
      </c>
      <c r="AY32" s="116">
        <v>3636.42</v>
      </c>
      <c r="AZ32" s="116">
        <v>2612985.61</v>
      </c>
      <c r="BA32" s="116">
        <v>3846.4</v>
      </c>
      <c r="BB32" s="117">
        <v>4995.07</v>
      </c>
      <c r="BC32" s="116">
        <v>1081.6</v>
      </c>
      <c r="BD32" s="116">
        <v>966.4</v>
      </c>
      <c r="BE32" s="116">
        <v>2816.0</v>
      </c>
      <c r="BF32" s="116">
        <v>8352.0</v>
      </c>
      <c r="BG32" s="116">
        <v>22057.47</v>
      </c>
      <c r="BH32" s="118">
        <v>358.0</v>
      </c>
      <c r="BI32" s="118">
        <v>1799927.3399999999</v>
      </c>
      <c r="BJ32" s="118">
        <v>0.0</v>
      </c>
      <c r="BK32" s="118">
        <v>0.0</v>
      </c>
      <c r="BL32" s="118">
        <v>123707.19</v>
      </c>
      <c r="BM32" s="118">
        <v>267419.37</v>
      </c>
      <c r="BN32" s="118">
        <v>1116.48</v>
      </c>
      <c r="BO32" s="118">
        <v>24710.9</v>
      </c>
      <c r="BP32" s="118">
        <v>42812.26</v>
      </c>
      <c r="BQ32" s="118">
        <v>45977.66</v>
      </c>
      <c r="BR32" s="118">
        <v>67321.15</v>
      </c>
      <c r="BS32" s="118">
        <v>6508.82</v>
      </c>
      <c r="BT32" s="118">
        <v>54446.28</v>
      </c>
      <c r="BU32" s="118">
        <v>122147.38</v>
      </c>
      <c r="BV32" s="118">
        <v>33903.76</v>
      </c>
      <c r="BW32" s="118">
        <v>171859.34</v>
      </c>
      <c r="BX32" s="118">
        <v>42000.1</v>
      </c>
      <c r="BY32" s="118">
        <v>0.0</v>
      </c>
      <c r="BZ32" s="118">
        <v>2803858.03</v>
      </c>
      <c r="CA32" s="118">
        <v>48759.6</v>
      </c>
      <c r="CB32" s="118">
        <v>0.0</v>
      </c>
      <c r="CC32" s="118">
        <v>0.0</v>
      </c>
      <c r="CD32" s="118">
        <v>27749.64</v>
      </c>
      <c r="CE32" s="118">
        <v>4500.78</v>
      </c>
      <c r="CF32" s="117">
        <v>0.0</v>
      </c>
      <c r="CG32" s="119">
        <v>81010.02</v>
      </c>
      <c r="CH32" s="119"/>
      <c r="CI32" s="119">
        <v>9660.0</v>
      </c>
      <c r="CJ32" s="119">
        <v>0.0</v>
      </c>
      <c r="CK32" s="116">
        <v>7.28</v>
      </c>
      <c r="CL32" s="116">
        <v>0.24</v>
      </c>
      <c r="CM32" s="116">
        <v>0.62</v>
      </c>
      <c r="CN32" s="116">
        <v>0.68</v>
      </c>
      <c r="CO32" s="116">
        <v>8.82</v>
      </c>
      <c r="CP32" s="120">
        <v>15.0</v>
      </c>
      <c r="CQ32" s="120">
        <v>10.0</v>
      </c>
      <c r="CR32" s="120">
        <v>0.0</v>
      </c>
      <c r="CS32" s="120">
        <v>0.0</v>
      </c>
      <c r="CT32" s="120">
        <v>10.0</v>
      </c>
      <c r="CU32" s="120">
        <v>6.0</v>
      </c>
      <c r="CV32" s="120">
        <v>0.0</v>
      </c>
      <c r="CW32" s="120">
        <v>0.0</v>
      </c>
      <c r="CX32" s="120">
        <v>14.0</v>
      </c>
      <c r="CY32" s="120">
        <v>8.0</v>
      </c>
      <c r="CZ32" s="120">
        <v>0.0</v>
      </c>
      <c r="DA32" s="120">
        <v>0.0</v>
      </c>
      <c r="DB32" s="120">
        <v>4.0</v>
      </c>
      <c r="DC32" s="120">
        <v>5.0</v>
      </c>
      <c r="DD32" s="120">
        <v>6.0</v>
      </c>
      <c r="DE32" s="121"/>
      <c r="DF32" s="122"/>
      <c r="DG32" s="122"/>
      <c r="DH32" s="122"/>
      <c r="DI32" s="122"/>
      <c r="DJ32" s="122"/>
      <c r="DK32" s="122"/>
      <c r="DL32" s="122"/>
      <c r="DM32" s="122"/>
      <c r="DN32" s="122"/>
      <c r="DO32" s="122"/>
      <c r="DP32" s="122"/>
    </row>
    <row r="33">
      <c r="A33" s="115">
        <v>2042899.0</v>
      </c>
      <c r="B33" s="115" t="s">
        <v>409</v>
      </c>
      <c r="C33" s="115" t="s">
        <v>379</v>
      </c>
      <c r="D33" s="115" t="s">
        <v>17</v>
      </c>
      <c r="E33" s="115">
        <v>418.0</v>
      </c>
      <c r="F33" s="115">
        <v>0.0</v>
      </c>
      <c r="G33" s="115">
        <v>0.0</v>
      </c>
      <c r="H33" s="116">
        <v>2137300.88</v>
      </c>
      <c r="I33" s="115">
        <v>68.0</v>
      </c>
      <c r="J33" s="115">
        <v>0.0</v>
      </c>
      <c r="K33" s="116">
        <v>40606.2</v>
      </c>
      <c r="L33" s="115">
        <v>68.0</v>
      </c>
      <c r="M33" s="115">
        <v>0.0</v>
      </c>
      <c r="N33" s="116">
        <v>97294.4</v>
      </c>
      <c r="O33" s="115">
        <v>96.6939759</v>
      </c>
      <c r="P33" s="115">
        <v>83.6</v>
      </c>
      <c r="Q33" s="115">
        <v>6.043373494</v>
      </c>
      <c r="R33" s="115">
        <v>15.10843373</v>
      </c>
      <c r="S33" s="115">
        <v>21.15180723</v>
      </c>
      <c r="T33" s="115">
        <v>2.014457831</v>
      </c>
      <c r="U33" s="115">
        <v>0.0</v>
      </c>
      <c r="V33" s="115">
        <v>0.0</v>
      </c>
      <c r="W33" s="115">
        <v>0.0</v>
      </c>
      <c r="X33" s="115">
        <v>0.0</v>
      </c>
      <c r="Y33" s="115">
        <v>0.0</v>
      </c>
      <c r="Z33" s="115">
        <v>0.0</v>
      </c>
      <c r="AA33" s="116">
        <v>83217.59</v>
      </c>
      <c r="AB33" s="115">
        <v>73.55865922</v>
      </c>
      <c r="AC33" s="115">
        <v>0.0</v>
      </c>
      <c r="AD33" s="116">
        <v>53058.6</v>
      </c>
      <c r="AE33" s="115">
        <v>56.0980877</v>
      </c>
      <c r="AF33" s="115">
        <v>0.0</v>
      </c>
      <c r="AG33" s="116">
        <v>79602.06</v>
      </c>
      <c r="AH33" s="115">
        <v>0.0</v>
      </c>
      <c r="AI33" s="115">
        <v>0.0</v>
      </c>
      <c r="AJ33" s="116">
        <v>0.0</v>
      </c>
      <c r="AK33" s="116">
        <v>180564.7</v>
      </c>
      <c r="AL33" s="116">
        <v>48393.0</v>
      </c>
      <c r="AM33" s="116">
        <v>2802977.81</v>
      </c>
      <c r="AN33" s="116">
        <v>79531.15</v>
      </c>
      <c r="AO33" s="116">
        <v>48393.0</v>
      </c>
      <c r="AP33" s="116">
        <v>180564.7</v>
      </c>
      <c r="AQ33" s="116">
        <v>2653551.26</v>
      </c>
      <c r="AR33" s="116">
        <v>418.0</v>
      </c>
      <c r="AS33" s="116">
        <v>6348.208756</v>
      </c>
      <c r="AT33" s="116">
        <v>6348.208756</v>
      </c>
      <c r="AU33" s="116">
        <v>2653551.26</v>
      </c>
      <c r="AV33" s="116">
        <v>48393.0</v>
      </c>
      <c r="AW33" s="116">
        <v>180564.7</v>
      </c>
      <c r="AX33" s="116">
        <v>2882508.96</v>
      </c>
      <c r="AY33" s="116">
        <v>162471.53</v>
      </c>
      <c r="AZ33" s="116">
        <v>2882508.96</v>
      </c>
      <c r="BA33" s="116">
        <v>5024.36</v>
      </c>
      <c r="BB33" s="117">
        <v>6326.04</v>
      </c>
      <c r="BC33" s="116">
        <v>1412.84</v>
      </c>
      <c r="BD33" s="116">
        <v>1262.36</v>
      </c>
      <c r="BE33" s="116">
        <v>3678.4</v>
      </c>
      <c r="BF33" s="116">
        <v>10909.8</v>
      </c>
      <c r="BG33" s="116">
        <v>28613.8</v>
      </c>
      <c r="BH33" s="118">
        <v>418.0</v>
      </c>
      <c r="BI33" s="118">
        <v>2101591.1399999997</v>
      </c>
      <c r="BJ33" s="118">
        <v>0.0</v>
      </c>
      <c r="BK33" s="118">
        <v>0.0</v>
      </c>
      <c r="BL33" s="118">
        <v>33418.53</v>
      </c>
      <c r="BM33" s="118">
        <v>71562.93</v>
      </c>
      <c r="BN33" s="118">
        <v>26289.75</v>
      </c>
      <c r="BO33" s="118">
        <v>29169.73</v>
      </c>
      <c r="BP33" s="118">
        <v>4236.83</v>
      </c>
      <c r="BQ33" s="118">
        <v>9913.72</v>
      </c>
      <c r="BR33" s="118">
        <v>14233.8</v>
      </c>
      <c r="BS33" s="118">
        <v>2445.69</v>
      </c>
      <c r="BT33" s="118">
        <v>38781.86</v>
      </c>
      <c r="BU33" s="118">
        <v>82879.5</v>
      </c>
      <c r="BV33" s="118">
        <v>5623.41</v>
      </c>
      <c r="BW33" s="118">
        <v>171859.34</v>
      </c>
      <c r="BX33" s="118">
        <v>48393.0</v>
      </c>
      <c r="BY33" s="118">
        <v>162578.57</v>
      </c>
      <c r="BZ33" s="118">
        <v>2802977.81</v>
      </c>
      <c r="CA33" s="118">
        <v>56931.59999999999</v>
      </c>
      <c r="CB33" s="118">
        <v>0.0</v>
      </c>
      <c r="CC33" s="118">
        <v>0.0</v>
      </c>
      <c r="CD33" s="118">
        <v>7425.960000000001</v>
      </c>
      <c r="CE33" s="118">
        <v>4500.78</v>
      </c>
      <c r="CF33" s="117">
        <v>0.0</v>
      </c>
      <c r="CG33" s="119">
        <v>68858.34</v>
      </c>
      <c r="CH33" s="119"/>
      <c r="CI33" s="119">
        <v>9775.0</v>
      </c>
      <c r="CJ33" s="119">
        <v>0.0</v>
      </c>
      <c r="CK33" s="116">
        <v>7.28</v>
      </c>
      <c r="CL33" s="116">
        <v>0.12</v>
      </c>
      <c r="CM33" s="116">
        <v>0.0</v>
      </c>
      <c r="CN33" s="116">
        <v>0.68</v>
      </c>
      <c r="CO33" s="116">
        <v>8.08</v>
      </c>
      <c r="CP33" s="120">
        <v>27.0</v>
      </c>
      <c r="CQ33" s="120">
        <v>6.0</v>
      </c>
      <c r="CR33" s="120">
        <v>0.0</v>
      </c>
      <c r="CS33" s="120">
        <v>0.0</v>
      </c>
      <c r="CT33" s="120">
        <v>17.0</v>
      </c>
      <c r="CU33" s="120">
        <v>10.0</v>
      </c>
      <c r="CV33" s="120">
        <v>0.0</v>
      </c>
      <c r="CW33" s="120">
        <v>0.0</v>
      </c>
      <c r="CX33" s="120">
        <v>24.0</v>
      </c>
      <c r="CY33" s="120">
        <v>6.0</v>
      </c>
      <c r="CZ33" s="120">
        <v>0.0</v>
      </c>
      <c r="DA33" s="120">
        <v>0.0</v>
      </c>
      <c r="DB33" s="120">
        <v>1.0</v>
      </c>
      <c r="DC33" s="120">
        <v>0.0</v>
      </c>
      <c r="DD33" s="120">
        <v>1.0</v>
      </c>
      <c r="DE33" s="121"/>
      <c r="DF33" s="122"/>
      <c r="DG33" s="122"/>
      <c r="DH33" s="122"/>
      <c r="DI33" s="122"/>
      <c r="DJ33" s="122"/>
      <c r="DK33" s="122"/>
      <c r="DL33" s="122"/>
      <c r="DM33" s="122"/>
      <c r="DN33" s="122"/>
      <c r="DO33" s="122"/>
      <c r="DP33" s="122"/>
    </row>
    <row r="34">
      <c r="A34" s="115">
        <v>2043000.0</v>
      </c>
      <c r="B34" s="115" t="s">
        <v>410</v>
      </c>
      <c r="C34" s="115" t="s">
        <v>379</v>
      </c>
      <c r="D34" s="115" t="s">
        <v>17</v>
      </c>
      <c r="E34" s="115">
        <v>204.0</v>
      </c>
      <c r="F34" s="115">
        <v>0.0</v>
      </c>
      <c r="G34" s="115">
        <v>0.0</v>
      </c>
      <c r="H34" s="116">
        <v>1043084.64</v>
      </c>
      <c r="I34" s="115">
        <v>83.0</v>
      </c>
      <c r="J34" s="115">
        <v>0.0</v>
      </c>
      <c r="K34" s="116">
        <v>49563.45</v>
      </c>
      <c r="L34" s="115">
        <v>84.0</v>
      </c>
      <c r="M34" s="115">
        <v>0.0</v>
      </c>
      <c r="N34" s="116">
        <v>120187.2</v>
      </c>
      <c r="O34" s="115">
        <v>20.0</v>
      </c>
      <c r="P34" s="115">
        <v>23.0</v>
      </c>
      <c r="Q34" s="115">
        <v>37.0</v>
      </c>
      <c r="R34" s="115">
        <v>59.0</v>
      </c>
      <c r="S34" s="115">
        <v>53.0</v>
      </c>
      <c r="T34" s="115">
        <v>1.0</v>
      </c>
      <c r="U34" s="115">
        <v>0.0</v>
      </c>
      <c r="V34" s="115">
        <v>0.0</v>
      </c>
      <c r="W34" s="115">
        <v>0.0</v>
      </c>
      <c r="X34" s="115">
        <v>0.0</v>
      </c>
      <c r="Y34" s="115">
        <v>0.0</v>
      </c>
      <c r="Z34" s="115">
        <v>0.0</v>
      </c>
      <c r="AA34" s="116">
        <v>102396.8</v>
      </c>
      <c r="AB34" s="115">
        <v>32.64</v>
      </c>
      <c r="AC34" s="115">
        <v>0.0</v>
      </c>
      <c r="AD34" s="116">
        <v>23543.56</v>
      </c>
      <c r="AE34" s="115">
        <v>68.55734347</v>
      </c>
      <c r="AF34" s="115">
        <v>0.0</v>
      </c>
      <c r="AG34" s="116">
        <v>97281.5</v>
      </c>
      <c r="AH34" s="115">
        <v>10.76</v>
      </c>
      <c r="AI34" s="115">
        <v>0.0</v>
      </c>
      <c r="AJ34" s="116">
        <v>12532.6</v>
      </c>
      <c r="AK34" s="116">
        <v>180564.7</v>
      </c>
      <c r="AL34" s="116">
        <v>6060.6</v>
      </c>
      <c r="AM34" s="116">
        <v>1475281.67</v>
      </c>
      <c r="AN34" s="116">
        <v>45703.05</v>
      </c>
      <c r="AO34" s="116">
        <v>6060.6</v>
      </c>
      <c r="AP34" s="116">
        <v>180564.7</v>
      </c>
      <c r="AQ34" s="116">
        <v>1334359.42</v>
      </c>
      <c r="AR34" s="116">
        <v>193.0</v>
      </c>
      <c r="AS34" s="116">
        <v>6913.779378</v>
      </c>
      <c r="AT34" s="116">
        <v>6913.779378</v>
      </c>
      <c r="AU34" s="116">
        <v>1410410.993</v>
      </c>
      <c r="AV34" s="116">
        <v>6060.6</v>
      </c>
      <c r="AW34" s="116">
        <v>180564.7</v>
      </c>
      <c r="AX34" s="116">
        <v>1597036.29</v>
      </c>
      <c r="AY34" s="116">
        <v>0.0</v>
      </c>
      <c r="AZ34" s="116">
        <v>1635215.05</v>
      </c>
      <c r="BA34" s="116">
        <v>2452.08</v>
      </c>
      <c r="BB34" s="117">
        <v>2807.04</v>
      </c>
      <c r="BC34" s="116">
        <v>689.52</v>
      </c>
      <c r="BD34" s="116">
        <v>616.08</v>
      </c>
      <c r="BE34" s="116">
        <v>1795.2</v>
      </c>
      <c r="BF34" s="116">
        <v>5324.4</v>
      </c>
      <c r="BG34" s="116">
        <v>13684.32</v>
      </c>
      <c r="BH34" s="118">
        <v>193.0</v>
      </c>
      <c r="BI34" s="118">
        <v>970351.8899999999</v>
      </c>
      <c r="BJ34" s="118">
        <v>0.0</v>
      </c>
      <c r="BK34" s="118">
        <v>0.0</v>
      </c>
      <c r="BL34" s="118">
        <v>39281.43</v>
      </c>
      <c r="BM34" s="118">
        <v>85373.32</v>
      </c>
      <c r="BN34" s="118">
        <v>4453.44</v>
      </c>
      <c r="BO34" s="118">
        <v>9114.12</v>
      </c>
      <c r="BP34" s="118">
        <v>20555.73</v>
      </c>
      <c r="BQ34" s="118">
        <v>28438.13</v>
      </c>
      <c r="BR34" s="118">
        <v>29563.2</v>
      </c>
      <c r="BS34" s="118">
        <v>811.33</v>
      </c>
      <c r="BT34" s="118">
        <v>18845.16</v>
      </c>
      <c r="BU34" s="118">
        <v>90072.91</v>
      </c>
      <c r="BV34" s="118">
        <v>480.05</v>
      </c>
      <c r="BW34" s="118">
        <v>171859.34</v>
      </c>
      <c r="BX34" s="118">
        <v>6060.6</v>
      </c>
      <c r="BY34" s="118">
        <v>21.02</v>
      </c>
      <c r="BZ34" s="118">
        <v>1475281.67</v>
      </c>
      <c r="CA34" s="118">
        <v>26286.6</v>
      </c>
      <c r="CB34" s="118">
        <v>0.0</v>
      </c>
      <c r="CC34" s="118">
        <v>0.0</v>
      </c>
      <c r="CD34" s="118">
        <v>8859.039999999999</v>
      </c>
      <c r="CE34" s="118">
        <v>4500.78</v>
      </c>
      <c r="CF34" s="117">
        <v>0.0</v>
      </c>
      <c r="CG34" s="119">
        <v>39646.42</v>
      </c>
      <c r="CH34" s="119"/>
      <c r="CI34" s="119">
        <v>8855.0</v>
      </c>
      <c r="CJ34" s="119">
        <v>0.0</v>
      </c>
      <c r="CK34" s="116">
        <v>7.28</v>
      </c>
      <c r="CL34" s="116">
        <v>0.23</v>
      </c>
      <c r="CM34" s="116">
        <v>0.99</v>
      </c>
      <c r="CN34" s="116">
        <v>0.68</v>
      </c>
      <c r="CO34" s="116">
        <v>9.18</v>
      </c>
      <c r="CP34" s="120">
        <v>11.0</v>
      </c>
      <c r="CQ34" s="120">
        <v>11.0</v>
      </c>
      <c r="CR34" s="120">
        <v>0.0</v>
      </c>
      <c r="CS34" s="120">
        <v>0.0</v>
      </c>
      <c r="CT34" s="120">
        <v>7.0</v>
      </c>
      <c r="CU34" s="120">
        <v>5.0</v>
      </c>
      <c r="CV34" s="120">
        <v>0.0</v>
      </c>
      <c r="CW34" s="120">
        <v>0.0</v>
      </c>
      <c r="CX34" s="120">
        <v>12.0</v>
      </c>
      <c r="CY34" s="120">
        <v>10.0</v>
      </c>
      <c r="CZ34" s="120">
        <v>0.0</v>
      </c>
      <c r="DA34" s="120">
        <v>0.0</v>
      </c>
      <c r="DB34" s="120">
        <v>9.0</v>
      </c>
      <c r="DC34" s="120">
        <v>6.0</v>
      </c>
      <c r="DD34" s="120">
        <v>7.0</v>
      </c>
      <c r="DE34" s="121"/>
      <c r="DF34" s="122"/>
      <c r="DG34" s="122"/>
      <c r="DH34" s="122"/>
      <c r="DI34" s="122"/>
      <c r="DJ34" s="122"/>
      <c r="DK34" s="122"/>
      <c r="DL34" s="122"/>
      <c r="DM34" s="122"/>
      <c r="DN34" s="122"/>
      <c r="DO34" s="122"/>
      <c r="DP34" s="122"/>
    </row>
    <row r="35">
      <c r="A35" s="115">
        <v>2043358.0</v>
      </c>
      <c r="B35" s="115" t="s">
        <v>411</v>
      </c>
      <c r="C35" s="115" t="s">
        <v>379</v>
      </c>
      <c r="D35" s="115" t="s">
        <v>17</v>
      </c>
      <c r="E35" s="115">
        <v>190.0</v>
      </c>
      <c r="F35" s="115">
        <v>0.0</v>
      </c>
      <c r="G35" s="115">
        <v>0.0</v>
      </c>
      <c r="H35" s="116">
        <v>971500.4</v>
      </c>
      <c r="I35" s="115">
        <v>118.0</v>
      </c>
      <c r="J35" s="115">
        <v>0.0</v>
      </c>
      <c r="K35" s="116">
        <v>70463.7</v>
      </c>
      <c r="L35" s="115">
        <v>119.0</v>
      </c>
      <c r="M35" s="115">
        <v>0.0</v>
      </c>
      <c r="N35" s="116">
        <v>170265.2</v>
      </c>
      <c r="O35" s="115">
        <v>23.0</v>
      </c>
      <c r="P35" s="115">
        <v>34.0</v>
      </c>
      <c r="Q35" s="115">
        <v>39.0</v>
      </c>
      <c r="R35" s="115">
        <v>23.0</v>
      </c>
      <c r="S35" s="115">
        <v>39.0</v>
      </c>
      <c r="T35" s="115">
        <v>17.0</v>
      </c>
      <c r="U35" s="115">
        <v>0.0</v>
      </c>
      <c r="V35" s="115">
        <v>0.0</v>
      </c>
      <c r="W35" s="115">
        <v>0.0</v>
      </c>
      <c r="X35" s="115">
        <v>0.0</v>
      </c>
      <c r="Y35" s="115">
        <v>0.0</v>
      </c>
      <c r="Z35" s="115">
        <v>0.0</v>
      </c>
      <c r="AA35" s="116">
        <v>91281.64</v>
      </c>
      <c r="AB35" s="115">
        <v>17.48466258</v>
      </c>
      <c r="AC35" s="115">
        <v>0.0</v>
      </c>
      <c r="AD35" s="116">
        <v>12611.86</v>
      </c>
      <c r="AE35" s="115">
        <v>61.63694586</v>
      </c>
      <c r="AF35" s="115">
        <v>0.0</v>
      </c>
      <c r="AG35" s="116">
        <v>87461.59</v>
      </c>
      <c r="AH35" s="115">
        <v>3.6</v>
      </c>
      <c r="AI35" s="115">
        <v>0.0</v>
      </c>
      <c r="AJ35" s="116">
        <v>4193.06</v>
      </c>
      <c r="AK35" s="116">
        <v>180564.7</v>
      </c>
      <c r="AL35" s="116">
        <v>16980.0</v>
      </c>
      <c r="AM35" s="116">
        <v>1558423.32</v>
      </c>
      <c r="AN35" s="116">
        <v>52092.97</v>
      </c>
      <c r="AO35" s="116">
        <v>16980.0</v>
      </c>
      <c r="AP35" s="116">
        <v>180564.7</v>
      </c>
      <c r="AQ35" s="116">
        <v>1412971.59</v>
      </c>
      <c r="AR35" s="116">
        <v>200.0</v>
      </c>
      <c r="AS35" s="116">
        <v>7064.85795</v>
      </c>
      <c r="AT35" s="116">
        <v>7064.85795</v>
      </c>
      <c r="AU35" s="116">
        <v>1342323.011</v>
      </c>
      <c r="AV35" s="116">
        <v>16980.0</v>
      </c>
      <c r="AW35" s="116">
        <v>180564.7</v>
      </c>
      <c r="AX35" s="116">
        <v>1539867.71</v>
      </c>
      <c r="AY35" s="116">
        <v>0.0</v>
      </c>
      <c r="AZ35" s="116">
        <v>1605322.16</v>
      </c>
      <c r="BA35" s="116">
        <v>2283.8</v>
      </c>
      <c r="BB35" s="117">
        <v>1503.68</v>
      </c>
      <c r="BC35" s="116">
        <v>642.2</v>
      </c>
      <c r="BD35" s="116">
        <v>573.8</v>
      </c>
      <c r="BE35" s="116">
        <v>1672.0</v>
      </c>
      <c r="BF35" s="116">
        <v>4959.0</v>
      </c>
      <c r="BG35" s="116">
        <v>11634.48</v>
      </c>
      <c r="BH35" s="118">
        <v>200.0</v>
      </c>
      <c r="BI35" s="118">
        <v>1005545.9999999999</v>
      </c>
      <c r="BJ35" s="118">
        <v>0.0</v>
      </c>
      <c r="BK35" s="118">
        <v>0.0</v>
      </c>
      <c r="BL35" s="118">
        <v>60974.16</v>
      </c>
      <c r="BM35" s="118">
        <v>130570.96</v>
      </c>
      <c r="BN35" s="118">
        <v>9741.9</v>
      </c>
      <c r="BO35" s="118">
        <v>12152.16</v>
      </c>
      <c r="BP35" s="118">
        <v>22136.94</v>
      </c>
      <c r="BQ35" s="118">
        <v>12187.77</v>
      </c>
      <c r="BR35" s="118">
        <v>21556.5</v>
      </c>
      <c r="BS35" s="118">
        <v>12981.28</v>
      </c>
      <c r="BT35" s="118">
        <v>13035.47</v>
      </c>
      <c r="BU35" s="118">
        <v>68701.21</v>
      </c>
      <c r="BV35" s="118">
        <v>0.0</v>
      </c>
      <c r="BW35" s="118">
        <v>171859.34</v>
      </c>
      <c r="BX35" s="118">
        <v>16980.0</v>
      </c>
      <c r="BY35" s="118">
        <v>0.0</v>
      </c>
      <c r="BZ35" s="118">
        <v>1558423.69</v>
      </c>
      <c r="CA35" s="118">
        <v>27240.0</v>
      </c>
      <c r="CB35" s="118">
        <v>0.0</v>
      </c>
      <c r="CC35" s="118">
        <v>0.0</v>
      </c>
      <c r="CD35" s="118">
        <v>13549.119999999999</v>
      </c>
      <c r="CE35" s="118">
        <v>4500.78</v>
      </c>
      <c r="CF35" s="117">
        <v>0.0</v>
      </c>
      <c r="CG35" s="119">
        <v>45289.899999999994</v>
      </c>
      <c r="CH35" s="119"/>
      <c r="CI35" s="119">
        <v>8850.0</v>
      </c>
      <c r="CJ35" s="119">
        <v>0.0</v>
      </c>
      <c r="CK35" s="116">
        <v>7.28</v>
      </c>
      <c r="CL35" s="116">
        <v>0.23</v>
      </c>
      <c r="CM35" s="116">
        <v>0.95</v>
      </c>
      <c r="CN35" s="116">
        <v>0.68</v>
      </c>
      <c r="CO35" s="116">
        <v>9.14</v>
      </c>
      <c r="CP35" s="120">
        <v>21.0</v>
      </c>
      <c r="CQ35" s="120">
        <v>8.0</v>
      </c>
      <c r="CR35" s="120">
        <v>3.0</v>
      </c>
      <c r="CS35" s="120">
        <v>5.0</v>
      </c>
      <c r="CT35" s="120">
        <v>15.0</v>
      </c>
      <c r="CU35" s="120">
        <v>8.0</v>
      </c>
      <c r="CV35" s="120">
        <v>3.0</v>
      </c>
      <c r="CW35" s="120">
        <v>5.0</v>
      </c>
      <c r="CX35" s="120">
        <v>14.0</v>
      </c>
      <c r="CY35" s="120">
        <v>10.0</v>
      </c>
      <c r="CZ35" s="120">
        <v>3.0</v>
      </c>
      <c r="DA35" s="120">
        <v>5.0</v>
      </c>
      <c r="DB35" s="120">
        <v>3.0</v>
      </c>
      <c r="DC35" s="120">
        <v>11.0</v>
      </c>
      <c r="DD35" s="120">
        <v>2.0</v>
      </c>
      <c r="DE35" s="121"/>
      <c r="DF35" s="122"/>
      <c r="DG35" s="122"/>
      <c r="DH35" s="122"/>
      <c r="DI35" s="122"/>
      <c r="DJ35" s="122"/>
      <c r="DK35" s="122"/>
      <c r="DL35" s="122"/>
      <c r="DM35" s="122"/>
      <c r="DN35" s="122"/>
      <c r="DO35" s="122"/>
      <c r="DP35" s="122"/>
    </row>
    <row r="36">
      <c r="A36" s="115">
        <v>2043371.0</v>
      </c>
      <c r="B36" s="115" t="s">
        <v>412</v>
      </c>
      <c r="C36" s="115" t="s">
        <v>379</v>
      </c>
      <c r="D36" s="115" t="s">
        <v>17</v>
      </c>
      <c r="E36" s="115">
        <v>204.0</v>
      </c>
      <c r="F36" s="115">
        <v>0.0</v>
      </c>
      <c r="G36" s="115">
        <v>0.0</v>
      </c>
      <c r="H36" s="116">
        <v>1043084.64</v>
      </c>
      <c r="I36" s="115">
        <v>50.0</v>
      </c>
      <c r="J36" s="115">
        <v>0.0</v>
      </c>
      <c r="K36" s="116">
        <v>29857.5</v>
      </c>
      <c r="L36" s="115">
        <v>51.0</v>
      </c>
      <c r="M36" s="115">
        <v>0.0</v>
      </c>
      <c r="N36" s="116">
        <v>72970.8</v>
      </c>
      <c r="O36" s="115">
        <v>23.0</v>
      </c>
      <c r="P36" s="115">
        <v>22.0</v>
      </c>
      <c r="Q36" s="115">
        <v>20.0</v>
      </c>
      <c r="R36" s="115">
        <v>46.0</v>
      </c>
      <c r="S36" s="115">
        <v>45.0</v>
      </c>
      <c r="T36" s="115">
        <v>7.0</v>
      </c>
      <c r="U36" s="115">
        <v>0.0</v>
      </c>
      <c r="V36" s="115">
        <v>0.0</v>
      </c>
      <c r="W36" s="115">
        <v>0.0</v>
      </c>
      <c r="X36" s="115">
        <v>0.0</v>
      </c>
      <c r="Y36" s="115">
        <v>0.0</v>
      </c>
      <c r="Z36" s="115">
        <v>0.0</v>
      </c>
      <c r="AA36" s="116">
        <v>86025.41</v>
      </c>
      <c r="AB36" s="115">
        <v>16.22727273</v>
      </c>
      <c r="AC36" s="115">
        <v>0.0</v>
      </c>
      <c r="AD36" s="116">
        <v>11704.89</v>
      </c>
      <c r="AE36" s="115">
        <v>47.24454725</v>
      </c>
      <c r="AF36" s="115">
        <v>0.0</v>
      </c>
      <c r="AG36" s="116">
        <v>67039.07</v>
      </c>
      <c r="AH36" s="115">
        <v>0.0</v>
      </c>
      <c r="AI36" s="115">
        <v>0.0</v>
      </c>
      <c r="AJ36" s="116">
        <v>0.0</v>
      </c>
      <c r="AK36" s="116">
        <v>180564.7</v>
      </c>
      <c r="AL36" s="116">
        <v>6224.4</v>
      </c>
      <c r="AM36" s="116">
        <v>1497609.18</v>
      </c>
      <c r="AN36" s="116">
        <v>43753.5</v>
      </c>
      <c r="AO36" s="116">
        <v>6224.4</v>
      </c>
      <c r="AP36" s="116">
        <v>180564.7</v>
      </c>
      <c r="AQ36" s="116">
        <v>1354573.58</v>
      </c>
      <c r="AR36" s="116">
        <v>203.0</v>
      </c>
      <c r="AS36" s="116">
        <v>6672.776256</v>
      </c>
      <c r="AT36" s="116">
        <v>6672.776256</v>
      </c>
      <c r="AU36" s="116">
        <v>1361246.356</v>
      </c>
      <c r="AV36" s="116">
        <v>6224.4</v>
      </c>
      <c r="AW36" s="116">
        <v>180564.7</v>
      </c>
      <c r="AX36" s="116">
        <v>1548035.46</v>
      </c>
      <c r="AY36" s="116">
        <v>50564.04</v>
      </c>
      <c r="AZ36" s="116">
        <v>1548035.46</v>
      </c>
      <c r="BA36" s="116">
        <v>2452.08</v>
      </c>
      <c r="BB36" s="117">
        <v>1395.55</v>
      </c>
      <c r="BC36" s="116">
        <v>689.52</v>
      </c>
      <c r="BD36" s="116">
        <v>616.08</v>
      </c>
      <c r="BE36" s="116">
        <v>1795.2</v>
      </c>
      <c r="BF36" s="116">
        <v>5324.4</v>
      </c>
      <c r="BG36" s="116">
        <v>12272.83</v>
      </c>
      <c r="BH36" s="118">
        <v>203.0</v>
      </c>
      <c r="BI36" s="118">
        <v>1020629.19</v>
      </c>
      <c r="BJ36" s="118">
        <v>0.0</v>
      </c>
      <c r="BK36" s="118">
        <v>0.0</v>
      </c>
      <c r="BL36" s="118">
        <v>25210.47</v>
      </c>
      <c r="BM36" s="118">
        <v>55241.56</v>
      </c>
      <c r="BN36" s="118">
        <v>5010.12</v>
      </c>
      <c r="BO36" s="118">
        <v>7426.32</v>
      </c>
      <c r="BP36" s="118">
        <v>11068.47</v>
      </c>
      <c r="BQ36" s="118">
        <v>25536.28</v>
      </c>
      <c r="BR36" s="118">
        <v>27099.6</v>
      </c>
      <c r="BS36" s="118">
        <v>8113.3</v>
      </c>
      <c r="BT36" s="118">
        <v>13005.47</v>
      </c>
      <c r="BU36" s="118">
        <v>63762.46</v>
      </c>
      <c r="BV36" s="118">
        <v>0.0</v>
      </c>
      <c r="BW36" s="118">
        <v>171859.34</v>
      </c>
      <c r="BX36" s="118">
        <v>6224.4</v>
      </c>
      <c r="BY36" s="118">
        <v>57422.19</v>
      </c>
      <c r="BZ36" s="118">
        <v>1497609.17</v>
      </c>
      <c r="CA36" s="118">
        <v>27648.6</v>
      </c>
      <c r="CB36" s="118">
        <v>0.0</v>
      </c>
      <c r="CC36" s="118">
        <v>0.0</v>
      </c>
      <c r="CD36" s="118">
        <v>5732.32</v>
      </c>
      <c r="CE36" s="118">
        <v>4500.78</v>
      </c>
      <c r="CF36" s="117">
        <v>0.0</v>
      </c>
      <c r="CG36" s="119">
        <v>37881.7</v>
      </c>
      <c r="CH36" s="119"/>
      <c r="CI36" s="119">
        <v>8870.0</v>
      </c>
      <c r="CJ36" s="119">
        <v>0.0</v>
      </c>
      <c r="CK36" s="116">
        <v>0.0</v>
      </c>
      <c r="CL36" s="116">
        <v>0.0</v>
      </c>
      <c r="CM36" s="116">
        <v>0.0</v>
      </c>
      <c r="CN36" s="116">
        <v>0.0</v>
      </c>
      <c r="CO36" s="116">
        <v>0.0</v>
      </c>
      <c r="CP36" s="120">
        <v>0.0</v>
      </c>
      <c r="CQ36" s="120">
        <v>0.0</v>
      </c>
      <c r="CR36" s="120">
        <v>0.0</v>
      </c>
      <c r="CS36" s="120">
        <v>0.0</v>
      </c>
      <c r="CT36" s="120">
        <v>0.0</v>
      </c>
      <c r="CU36" s="120">
        <v>0.0</v>
      </c>
      <c r="CV36" s="120">
        <v>0.0</v>
      </c>
      <c r="CW36" s="120">
        <v>0.0</v>
      </c>
      <c r="CX36" s="120">
        <v>0.0</v>
      </c>
      <c r="CY36" s="120">
        <v>0.0</v>
      </c>
      <c r="CZ36" s="120">
        <v>0.0</v>
      </c>
      <c r="DA36" s="120">
        <v>0.0</v>
      </c>
      <c r="DB36" s="120">
        <v>0.0</v>
      </c>
      <c r="DC36" s="120">
        <v>0.0</v>
      </c>
      <c r="DD36" s="120">
        <v>0.0</v>
      </c>
      <c r="DE36" s="121"/>
      <c r="DF36" s="122"/>
      <c r="DG36" s="122"/>
      <c r="DH36" s="122"/>
      <c r="DI36" s="122"/>
      <c r="DJ36" s="122"/>
      <c r="DK36" s="122"/>
      <c r="DL36" s="122"/>
      <c r="DM36" s="122"/>
      <c r="DN36" s="122"/>
      <c r="DO36" s="122"/>
      <c r="DP36" s="122"/>
    </row>
    <row r="37">
      <c r="A37" s="115">
        <v>2043458.0</v>
      </c>
      <c r="B37" s="115" t="s">
        <v>413</v>
      </c>
      <c r="C37" s="115" t="s">
        <v>379</v>
      </c>
      <c r="D37" s="115" t="s">
        <v>17</v>
      </c>
      <c r="E37" s="115">
        <v>216.0</v>
      </c>
      <c r="F37" s="115">
        <v>0.0</v>
      </c>
      <c r="G37" s="115">
        <v>0.0</v>
      </c>
      <c r="H37" s="116">
        <v>1104442.56</v>
      </c>
      <c r="I37" s="115">
        <v>135.0</v>
      </c>
      <c r="J37" s="115">
        <v>0.0</v>
      </c>
      <c r="K37" s="116">
        <v>80615.25</v>
      </c>
      <c r="L37" s="115">
        <v>135.0</v>
      </c>
      <c r="M37" s="115">
        <v>0.0</v>
      </c>
      <c r="N37" s="116">
        <v>193158.0</v>
      </c>
      <c r="O37" s="115">
        <v>4.037383178</v>
      </c>
      <c r="P37" s="115">
        <v>18.1682243</v>
      </c>
      <c r="Q37" s="115">
        <v>40.37383178</v>
      </c>
      <c r="R37" s="115">
        <v>82.76635514</v>
      </c>
      <c r="S37" s="115">
        <v>65.60747664</v>
      </c>
      <c r="T37" s="115">
        <v>2.018691589</v>
      </c>
      <c r="U37" s="115">
        <v>0.0</v>
      </c>
      <c r="V37" s="115">
        <v>0.0</v>
      </c>
      <c r="W37" s="115">
        <v>0.0</v>
      </c>
      <c r="X37" s="115">
        <v>0.0</v>
      </c>
      <c r="Y37" s="115">
        <v>0.0</v>
      </c>
      <c r="Z37" s="115">
        <v>0.0</v>
      </c>
      <c r="AA37" s="116">
        <v>120820.98</v>
      </c>
      <c r="AB37" s="115">
        <v>54.27135678</v>
      </c>
      <c r="AC37" s="115">
        <v>0.0</v>
      </c>
      <c r="AD37" s="116">
        <v>39146.47</v>
      </c>
      <c r="AE37" s="115">
        <v>48.22991431</v>
      </c>
      <c r="AF37" s="115">
        <v>0.0</v>
      </c>
      <c r="AG37" s="116">
        <v>68437.28</v>
      </c>
      <c r="AH37" s="115">
        <v>0.0</v>
      </c>
      <c r="AI37" s="115">
        <v>0.0</v>
      </c>
      <c r="AJ37" s="116">
        <v>0.0</v>
      </c>
      <c r="AK37" s="116">
        <v>180564.7</v>
      </c>
      <c r="AL37" s="116">
        <v>7534.8</v>
      </c>
      <c r="AM37" s="116">
        <v>1848313.29</v>
      </c>
      <c r="AN37" s="116">
        <v>62116.68</v>
      </c>
      <c r="AO37" s="116">
        <v>7534.8</v>
      </c>
      <c r="AP37" s="116">
        <v>180564.7</v>
      </c>
      <c r="AQ37" s="116">
        <v>1722330.47</v>
      </c>
      <c r="AR37" s="116">
        <v>231.0</v>
      </c>
      <c r="AS37" s="116">
        <v>7455.976061</v>
      </c>
      <c r="AT37" s="116">
        <v>7455.976061</v>
      </c>
      <c r="AU37" s="116">
        <v>1610490.829</v>
      </c>
      <c r="AV37" s="116">
        <v>7534.8</v>
      </c>
      <c r="AW37" s="116">
        <v>180564.7</v>
      </c>
      <c r="AX37" s="116">
        <v>1798590.33</v>
      </c>
      <c r="AY37" s="116">
        <v>3870.28</v>
      </c>
      <c r="AZ37" s="116">
        <v>1798590.33</v>
      </c>
      <c r="BA37" s="116">
        <v>2596.32</v>
      </c>
      <c r="BB37" s="117">
        <v>4667.34</v>
      </c>
      <c r="BC37" s="116">
        <v>730.08</v>
      </c>
      <c r="BD37" s="116">
        <v>652.32</v>
      </c>
      <c r="BE37" s="116">
        <v>1900.8</v>
      </c>
      <c r="BF37" s="116">
        <v>5637.6</v>
      </c>
      <c r="BG37" s="116">
        <v>16184.46</v>
      </c>
      <c r="BH37" s="118">
        <v>231.0</v>
      </c>
      <c r="BI37" s="118">
        <v>1161405.63</v>
      </c>
      <c r="BJ37" s="118">
        <v>0.0</v>
      </c>
      <c r="BK37" s="118">
        <v>0.0</v>
      </c>
      <c r="BL37" s="118">
        <v>80908.02</v>
      </c>
      <c r="BM37" s="118">
        <v>174513.11</v>
      </c>
      <c r="BN37" s="118">
        <v>846.01</v>
      </c>
      <c r="BO37" s="118">
        <v>5814.03</v>
      </c>
      <c r="BP37" s="118">
        <v>26166.25</v>
      </c>
      <c r="BQ37" s="118">
        <v>48216.53</v>
      </c>
      <c r="BR37" s="118">
        <v>41808.26</v>
      </c>
      <c r="BS37" s="118">
        <v>4110.03</v>
      </c>
      <c r="BT37" s="118">
        <v>41512.12</v>
      </c>
      <c r="BU37" s="118">
        <v>69476.52</v>
      </c>
      <c r="BV37" s="118">
        <v>0.0</v>
      </c>
      <c r="BW37" s="118">
        <v>171859.34</v>
      </c>
      <c r="BX37" s="118">
        <v>7534.8</v>
      </c>
      <c r="BY37" s="118">
        <v>14142.64</v>
      </c>
      <c r="BZ37" s="118">
        <v>1848313.29</v>
      </c>
      <c r="CA37" s="118">
        <v>31462.199999999997</v>
      </c>
      <c r="CB37" s="118">
        <v>0.0</v>
      </c>
      <c r="CC37" s="118">
        <v>0.0</v>
      </c>
      <c r="CD37" s="118">
        <v>18108.920000000002</v>
      </c>
      <c r="CE37" s="118">
        <v>4500.78</v>
      </c>
      <c r="CF37" s="117">
        <v>0.0</v>
      </c>
      <c r="CG37" s="119">
        <v>54071.9</v>
      </c>
      <c r="CH37" s="119"/>
      <c r="CI37" s="119">
        <v>8980.0</v>
      </c>
      <c r="CJ37" s="119">
        <v>0.0</v>
      </c>
      <c r="CK37" s="116">
        <v>7.28</v>
      </c>
      <c r="CL37" s="116">
        <v>0.25</v>
      </c>
      <c r="CM37" s="116">
        <v>0.79</v>
      </c>
      <c r="CN37" s="116">
        <v>0.68</v>
      </c>
      <c r="CO37" s="116">
        <v>9.0</v>
      </c>
      <c r="CP37" s="120">
        <v>14.0</v>
      </c>
      <c r="CQ37" s="120">
        <v>9.0</v>
      </c>
      <c r="CR37" s="120">
        <v>3.0</v>
      </c>
      <c r="CS37" s="120">
        <v>4.0</v>
      </c>
      <c r="CT37" s="120">
        <v>6.0</v>
      </c>
      <c r="CU37" s="120">
        <v>4.0</v>
      </c>
      <c r="CV37" s="120">
        <v>3.0</v>
      </c>
      <c r="CW37" s="120">
        <v>4.0</v>
      </c>
      <c r="CX37" s="120">
        <v>13.0</v>
      </c>
      <c r="CY37" s="120">
        <v>8.0</v>
      </c>
      <c r="CZ37" s="120">
        <v>3.0</v>
      </c>
      <c r="DA37" s="120">
        <v>4.0</v>
      </c>
      <c r="DB37" s="120">
        <v>10.0</v>
      </c>
      <c r="DC37" s="120">
        <v>4.0</v>
      </c>
      <c r="DD37" s="120">
        <v>4.0</v>
      </c>
      <c r="DE37" s="121"/>
      <c r="DF37" s="122"/>
      <c r="DG37" s="122"/>
      <c r="DH37" s="122"/>
      <c r="DI37" s="122"/>
      <c r="DJ37" s="122"/>
      <c r="DK37" s="122"/>
      <c r="DL37" s="122"/>
      <c r="DM37" s="122"/>
      <c r="DN37" s="122"/>
      <c r="DO37" s="122"/>
      <c r="DP37" s="122"/>
    </row>
    <row r="38">
      <c r="A38" s="115">
        <v>2043543.0</v>
      </c>
      <c r="B38" s="115" t="s">
        <v>414</v>
      </c>
      <c r="C38" s="115" t="s">
        <v>379</v>
      </c>
      <c r="D38" s="115" t="s">
        <v>17</v>
      </c>
      <c r="E38" s="115">
        <v>178.0</v>
      </c>
      <c r="F38" s="115">
        <v>0.0</v>
      </c>
      <c r="G38" s="115">
        <v>0.0</v>
      </c>
      <c r="H38" s="116">
        <v>910142.48</v>
      </c>
      <c r="I38" s="115">
        <v>118.0</v>
      </c>
      <c r="J38" s="115">
        <v>0.0</v>
      </c>
      <c r="K38" s="116">
        <v>70463.7</v>
      </c>
      <c r="L38" s="115">
        <v>119.0</v>
      </c>
      <c r="M38" s="115">
        <v>0.0</v>
      </c>
      <c r="N38" s="116">
        <v>170265.2</v>
      </c>
      <c r="O38" s="115">
        <v>17.0</v>
      </c>
      <c r="P38" s="115">
        <v>40.0</v>
      </c>
      <c r="Q38" s="115">
        <v>6.0</v>
      </c>
      <c r="R38" s="115">
        <v>37.0</v>
      </c>
      <c r="S38" s="115">
        <v>43.0</v>
      </c>
      <c r="T38" s="115">
        <v>4.0</v>
      </c>
      <c r="U38" s="115">
        <v>0.0</v>
      </c>
      <c r="V38" s="115">
        <v>0.0</v>
      </c>
      <c r="W38" s="115">
        <v>0.0</v>
      </c>
      <c r="X38" s="115">
        <v>0.0</v>
      </c>
      <c r="Y38" s="115">
        <v>0.0</v>
      </c>
      <c r="Z38" s="115">
        <v>0.0</v>
      </c>
      <c r="AA38" s="116">
        <v>73904.95</v>
      </c>
      <c r="AB38" s="115">
        <v>55.97484277</v>
      </c>
      <c r="AC38" s="115">
        <v>0.0</v>
      </c>
      <c r="AD38" s="116">
        <v>40375.21</v>
      </c>
      <c r="AE38" s="115">
        <v>58.44853801</v>
      </c>
      <c r="AF38" s="115">
        <v>0.0</v>
      </c>
      <c r="AG38" s="116">
        <v>82937.31</v>
      </c>
      <c r="AH38" s="115">
        <v>23.32</v>
      </c>
      <c r="AI38" s="115">
        <v>0.0</v>
      </c>
      <c r="AJ38" s="116">
        <v>27161.74</v>
      </c>
      <c r="AK38" s="116">
        <v>180564.7</v>
      </c>
      <c r="AL38" s="116">
        <v>5891.41</v>
      </c>
      <c r="AM38" s="116">
        <v>1246970.41</v>
      </c>
      <c r="AN38" s="116">
        <v>41960.3</v>
      </c>
      <c r="AO38" s="116">
        <v>5891.41</v>
      </c>
      <c r="AP38" s="116">
        <v>180564.7</v>
      </c>
      <c r="AQ38" s="116">
        <v>1102474.6</v>
      </c>
      <c r="AR38" s="116">
        <v>145.0</v>
      </c>
      <c r="AS38" s="116">
        <v>7603.273103</v>
      </c>
      <c r="AT38" s="116">
        <v>7603.273103</v>
      </c>
      <c r="AU38" s="116">
        <v>1353382.612</v>
      </c>
      <c r="AV38" s="116">
        <v>5891.41</v>
      </c>
      <c r="AW38" s="116">
        <v>180564.7</v>
      </c>
      <c r="AX38" s="116">
        <v>1539838.72</v>
      </c>
      <c r="AY38" s="116">
        <v>0.0</v>
      </c>
      <c r="AZ38" s="116">
        <v>1561706.7</v>
      </c>
      <c r="BA38" s="116">
        <v>2139.56</v>
      </c>
      <c r="BB38" s="117">
        <v>4813.84</v>
      </c>
      <c r="BC38" s="116">
        <v>601.64</v>
      </c>
      <c r="BD38" s="116">
        <v>537.56</v>
      </c>
      <c r="BE38" s="116">
        <v>1566.4</v>
      </c>
      <c r="BF38" s="116">
        <v>4645.8</v>
      </c>
      <c r="BG38" s="116">
        <v>14304.8</v>
      </c>
      <c r="BH38" s="118">
        <v>145.0</v>
      </c>
      <c r="BI38" s="118">
        <v>729020.85</v>
      </c>
      <c r="BJ38" s="118">
        <v>0.0</v>
      </c>
      <c r="BK38" s="118">
        <v>0.0</v>
      </c>
      <c r="BL38" s="118">
        <v>55111.26</v>
      </c>
      <c r="BM38" s="118">
        <v>118016.06</v>
      </c>
      <c r="BN38" s="118">
        <v>3896.76</v>
      </c>
      <c r="BO38" s="118">
        <v>13502.4</v>
      </c>
      <c r="BP38" s="118">
        <v>3162.42</v>
      </c>
      <c r="BQ38" s="118">
        <v>12768.14</v>
      </c>
      <c r="BR38" s="118">
        <v>24636.0</v>
      </c>
      <c r="BS38" s="118">
        <v>1622.66</v>
      </c>
      <c r="BT38" s="118">
        <v>29083.67</v>
      </c>
      <c r="BU38" s="118">
        <v>60912.21</v>
      </c>
      <c r="BV38" s="118">
        <v>17487.44</v>
      </c>
      <c r="BW38" s="118">
        <v>171859.34</v>
      </c>
      <c r="BX38" s="118">
        <v>5891.41</v>
      </c>
      <c r="BY38" s="118">
        <v>0.0</v>
      </c>
      <c r="BZ38" s="118">
        <v>1246970.62</v>
      </c>
      <c r="CA38" s="118">
        <v>19749.0</v>
      </c>
      <c r="CB38" s="118">
        <v>0.0</v>
      </c>
      <c r="CC38" s="118">
        <v>0.0</v>
      </c>
      <c r="CD38" s="118">
        <v>12246.32</v>
      </c>
      <c r="CE38" s="118">
        <v>4500.78</v>
      </c>
      <c r="CF38" s="117">
        <v>0.0</v>
      </c>
      <c r="CG38" s="119">
        <v>36496.100000000006</v>
      </c>
      <c r="CH38" s="119"/>
      <c r="CI38" s="119">
        <v>8675.0</v>
      </c>
      <c r="CJ38" s="119">
        <v>0.0</v>
      </c>
      <c r="CK38" s="116">
        <v>7.28</v>
      </c>
      <c r="CL38" s="116">
        <v>0.23</v>
      </c>
      <c r="CM38" s="116">
        <v>0.76</v>
      </c>
      <c r="CN38" s="116">
        <v>0.68</v>
      </c>
      <c r="CO38" s="116">
        <v>8.95</v>
      </c>
      <c r="CP38" s="120">
        <v>13.0</v>
      </c>
      <c r="CQ38" s="120">
        <v>3.0</v>
      </c>
      <c r="CR38" s="120">
        <v>1.0</v>
      </c>
      <c r="CS38" s="120">
        <v>0.0</v>
      </c>
      <c r="CT38" s="120">
        <v>9.0</v>
      </c>
      <c r="CU38" s="120">
        <v>4.0</v>
      </c>
      <c r="CV38" s="120">
        <v>1.0</v>
      </c>
      <c r="CW38" s="120">
        <v>0.0</v>
      </c>
      <c r="CX38" s="120">
        <v>6.0</v>
      </c>
      <c r="CY38" s="120">
        <v>2.0</v>
      </c>
      <c r="CZ38" s="120">
        <v>1.0</v>
      </c>
      <c r="DA38" s="120">
        <v>0.0</v>
      </c>
      <c r="DB38" s="120">
        <v>7.0</v>
      </c>
      <c r="DC38" s="120">
        <v>5.0</v>
      </c>
      <c r="DD38" s="120">
        <v>3.0</v>
      </c>
      <c r="DE38" s="121"/>
      <c r="DF38" s="122"/>
      <c r="DG38" s="122"/>
      <c r="DH38" s="122"/>
      <c r="DI38" s="122"/>
      <c r="DJ38" s="122"/>
      <c r="DK38" s="122"/>
      <c r="DL38" s="122"/>
      <c r="DM38" s="122"/>
      <c r="DN38" s="122"/>
      <c r="DO38" s="122"/>
      <c r="DP38" s="122"/>
    </row>
    <row r="39">
      <c r="A39" s="115">
        <v>2043572.0</v>
      </c>
      <c r="B39" s="115" t="s">
        <v>415</v>
      </c>
      <c r="C39" s="115" t="s">
        <v>379</v>
      </c>
      <c r="D39" s="115" t="s">
        <v>17</v>
      </c>
      <c r="E39" s="115">
        <v>160.0</v>
      </c>
      <c r="F39" s="115">
        <v>0.0</v>
      </c>
      <c r="G39" s="115">
        <v>0.0</v>
      </c>
      <c r="H39" s="116">
        <v>818105.6</v>
      </c>
      <c r="I39" s="115">
        <v>104.0</v>
      </c>
      <c r="J39" s="115">
        <v>0.0</v>
      </c>
      <c r="K39" s="116">
        <v>62103.6</v>
      </c>
      <c r="L39" s="115">
        <v>108.0</v>
      </c>
      <c r="M39" s="115">
        <v>0.0</v>
      </c>
      <c r="N39" s="116">
        <v>154526.4</v>
      </c>
      <c r="O39" s="115">
        <v>8.0</v>
      </c>
      <c r="P39" s="115">
        <v>27.0</v>
      </c>
      <c r="Q39" s="115">
        <v>43.0</v>
      </c>
      <c r="R39" s="115">
        <v>23.0</v>
      </c>
      <c r="S39" s="115">
        <v>47.0</v>
      </c>
      <c r="T39" s="115">
        <v>5.0</v>
      </c>
      <c r="U39" s="115">
        <v>0.0</v>
      </c>
      <c r="V39" s="115">
        <v>0.0</v>
      </c>
      <c r="W39" s="115">
        <v>0.0</v>
      </c>
      <c r="X39" s="115">
        <v>0.0</v>
      </c>
      <c r="Y39" s="115">
        <v>0.0</v>
      </c>
      <c r="Z39" s="115">
        <v>0.0</v>
      </c>
      <c r="AA39" s="116">
        <v>81857.12</v>
      </c>
      <c r="AB39" s="115">
        <v>5.442176871</v>
      </c>
      <c r="AC39" s="115">
        <v>0.0</v>
      </c>
      <c r="AD39" s="116">
        <v>3925.5</v>
      </c>
      <c r="AE39" s="115">
        <v>42.43904969</v>
      </c>
      <c r="AF39" s="115">
        <v>0.0</v>
      </c>
      <c r="AG39" s="116">
        <v>60220.16</v>
      </c>
      <c r="AH39" s="115">
        <v>3.4</v>
      </c>
      <c r="AI39" s="115">
        <v>0.0</v>
      </c>
      <c r="AJ39" s="116">
        <v>3960.12</v>
      </c>
      <c r="AK39" s="116">
        <v>180564.7</v>
      </c>
      <c r="AL39" s="116">
        <v>5722.21</v>
      </c>
      <c r="AM39" s="116">
        <v>1436636.25</v>
      </c>
      <c r="AN39" s="116">
        <v>49602.15</v>
      </c>
      <c r="AO39" s="116">
        <v>5722.21</v>
      </c>
      <c r="AP39" s="116">
        <v>180564.7</v>
      </c>
      <c r="AQ39" s="116">
        <v>1299951.49</v>
      </c>
      <c r="AR39" s="116">
        <v>173.0</v>
      </c>
      <c r="AS39" s="116">
        <v>7514.170462</v>
      </c>
      <c r="AT39" s="116">
        <v>7514.170462</v>
      </c>
      <c r="AU39" s="116">
        <v>1202267.274</v>
      </c>
      <c r="AV39" s="116">
        <v>5722.21</v>
      </c>
      <c r="AW39" s="116">
        <v>180564.7</v>
      </c>
      <c r="AX39" s="116">
        <v>1388554.18</v>
      </c>
      <c r="AY39" s="116">
        <v>17568.78</v>
      </c>
      <c r="AZ39" s="116">
        <v>1388554.18</v>
      </c>
      <c r="BA39" s="116">
        <v>1923.2</v>
      </c>
      <c r="BB39" s="117">
        <v>468.03</v>
      </c>
      <c r="BC39" s="116">
        <v>540.8</v>
      </c>
      <c r="BD39" s="116">
        <v>483.2</v>
      </c>
      <c r="BE39" s="116">
        <v>1408.0</v>
      </c>
      <c r="BF39" s="116">
        <v>4176.0</v>
      </c>
      <c r="BG39" s="116">
        <v>8999.23</v>
      </c>
      <c r="BH39" s="118">
        <v>173.0</v>
      </c>
      <c r="BI39" s="118">
        <v>869797.2899999999</v>
      </c>
      <c r="BJ39" s="118">
        <v>0.0</v>
      </c>
      <c r="BK39" s="118">
        <v>0.0</v>
      </c>
      <c r="BL39" s="118">
        <v>66837.06</v>
      </c>
      <c r="BM39" s="118">
        <v>145636.84</v>
      </c>
      <c r="BN39" s="118">
        <v>2239.67</v>
      </c>
      <c r="BO39" s="118">
        <v>11883.29</v>
      </c>
      <c r="BP39" s="118">
        <v>21205.37</v>
      </c>
      <c r="BQ39" s="118">
        <v>16928.58</v>
      </c>
      <c r="BR39" s="118">
        <v>30354.56</v>
      </c>
      <c r="BS39" s="118">
        <v>4080.24</v>
      </c>
      <c r="BT39" s="118">
        <v>10802.89</v>
      </c>
      <c r="BU39" s="118">
        <v>60640.2</v>
      </c>
      <c r="BV39" s="118">
        <v>4137.55</v>
      </c>
      <c r="BW39" s="118">
        <v>171859.34</v>
      </c>
      <c r="BX39" s="118">
        <v>5722.21</v>
      </c>
      <c r="BY39" s="118">
        <v>14511.18</v>
      </c>
      <c r="BZ39" s="118">
        <v>1436636.26</v>
      </c>
      <c r="CA39" s="118">
        <v>23562.6</v>
      </c>
      <c r="CB39" s="118">
        <v>0.0</v>
      </c>
      <c r="CC39" s="118">
        <v>0.0</v>
      </c>
      <c r="CD39" s="118">
        <v>15112.48</v>
      </c>
      <c r="CE39" s="118">
        <v>4500.78</v>
      </c>
      <c r="CF39" s="117">
        <v>0.0</v>
      </c>
      <c r="CG39" s="119">
        <v>43175.86</v>
      </c>
      <c r="CH39" s="119"/>
      <c r="CI39" s="119">
        <v>8775.0</v>
      </c>
      <c r="CJ39" s="119">
        <v>0.0</v>
      </c>
      <c r="CK39" s="116">
        <v>7.28</v>
      </c>
      <c r="CL39" s="116">
        <v>0.23</v>
      </c>
      <c r="CM39" s="116">
        <v>1.07</v>
      </c>
      <c r="CN39" s="116">
        <v>0.68</v>
      </c>
      <c r="CO39" s="116">
        <v>9.26</v>
      </c>
      <c r="CP39" s="120">
        <v>9.0</v>
      </c>
      <c r="CQ39" s="120">
        <v>7.0</v>
      </c>
      <c r="CR39" s="120">
        <v>0.0</v>
      </c>
      <c r="CS39" s="120">
        <v>0.0</v>
      </c>
      <c r="CT39" s="120">
        <v>7.0</v>
      </c>
      <c r="CU39" s="120">
        <v>6.0</v>
      </c>
      <c r="CV39" s="120">
        <v>0.0</v>
      </c>
      <c r="CW39" s="120">
        <v>0.0</v>
      </c>
      <c r="CX39" s="120">
        <v>10.0</v>
      </c>
      <c r="CY39" s="120">
        <v>7.0</v>
      </c>
      <c r="CZ39" s="120">
        <v>0.0</v>
      </c>
      <c r="DA39" s="120">
        <v>0.0</v>
      </c>
      <c r="DB39" s="120">
        <v>10.0</v>
      </c>
      <c r="DC39" s="120">
        <v>7.0</v>
      </c>
      <c r="DD39" s="120">
        <v>8.0</v>
      </c>
      <c r="DE39" s="121"/>
      <c r="DF39" s="122"/>
      <c r="DG39" s="122"/>
      <c r="DH39" s="122"/>
      <c r="DI39" s="122"/>
      <c r="DJ39" s="122"/>
      <c r="DK39" s="122"/>
      <c r="DL39" s="122"/>
      <c r="DM39" s="122"/>
      <c r="DN39" s="122"/>
      <c r="DO39" s="122"/>
      <c r="DP39" s="122"/>
    </row>
    <row r="40">
      <c r="A40" s="115">
        <v>2043616.0</v>
      </c>
      <c r="B40" s="115" t="s">
        <v>416</v>
      </c>
      <c r="C40" s="115" t="s">
        <v>379</v>
      </c>
      <c r="D40" s="115" t="s">
        <v>17</v>
      </c>
      <c r="E40" s="115">
        <v>125.0</v>
      </c>
      <c r="F40" s="115">
        <v>0.0</v>
      </c>
      <c r="G40" s="115">
        <v>0.0</v>
      </c>
      <c r="H40" s="116">
        <v>639145.0</v>
      </c>
      <c r="I40" s="115">
        <v>69.0</v>
      </c>
      <c r="J40" s="115">
        <v>0.0</v>
      </c>
      <c r="K40" s="116">
        <v>41203.35</v>
      </c>
      <c r="L40" s="115">
        <v>73.0</v>
      </c>
      <c r="M40" s="115">
        <v>0.0</v>
      </c>
      <c r="N40" s="116">
        <v>104448.4</v>
      </c>
      <c r="O40" s="115">
        <v>36.0</v>
      </c>
      <c r="P40" s="115">
        <v>20.0</v>
      </c>
      <c r="Q40" s="115">
        <v>11.0</v>
      </c>
      <c r="R40" s="115">
        <v>17.0</v>
      </c>
      <c r="S40" s="115">
        <v>38.0</v>
      </c>
      <c r="T40" s="115">
        <v>0.0</v>
      </c>
      <c r="U40" s="115">
        <v>0.0</v>
      </c>
      <c r="V40" s="115">
        <v>0.0</v>
      </c>
      <c r="W40" s="115">
        <v>0.0</v>
      </c>
      <c r="X40" s="115">
        <v>0.0</v>
      </c>
      <c r="Y40" s="115">
        <v>0.0</v>
      </c>
      <c r="Z40" s="115">
        <v>0.0</v>
      </c>
      <c r="AA40" s="116">
        <v>56859.59</v>
      </c>
      <c r="AB40" s="115">
        <v>26.19047619</v>
      </c>
      <c r="AC40" s="115">
        <v>0.0</v>
      </c>
      <c r="AD40" s="116">
        <v>18891.45</v>
      </c>
      <c r="AE40" s="115">
        <v>31.44126957</v>
      </c>
      <c r="AF40" s="115">
        <v>0.0</v>
      </c>
      <c r="AG40" s="116">
        <v>44614.53</v>
      </c>
      <c r="AH40" s="115">
        <v>10.5</v>
      </c>
      <c r="AI40" s="115">
        <v>0.0</v>
      </c>
      <c r="AJ40" s="116">
        <v>12229.77</v>
      </c>
      <c r="AK40" s="116">
        <v>180564.7</v>
      </c>
      <c r="AL40" s="116">
        <v>5039.9</v>
      </c>
      <c r="AM40" s="116">
        <v>1088037.66</v>
      </c>
      <c r="AN40" s="116">
        <v>37079.32</v>
      </c>
      <c r="AO40" s="116">
        <v>5039.9</v>
      </c>
      <c r="AP40" s="116">
        <v>180564.7</v>
      </c>
      <c r="AQ40" s="116">
        <v>939512.38</v>
      </c>
      <c r="AR40" s="116">
        <v>128.0</v>
      </c>
      <c r="AS40" s="116">
        <v>7339.940469</v>
      </c>
      <c r="AT40" s="116">
        <v>7339.940469</v>
      </c>
      <c r="AU40" s="116">
        <v>917492.5586</v>
      </c>
      <c r="AV40" s="116">
        <v>5039.9</v>
      </c>
      <c r="AW40" s="116">
        <v>180564.7</v>
      </c>
      <c r="AX40" s="116">
        <v>1103097.16</v>
      </c>
      <c r="AY40" s="116">
        <v>100.46</v>
      </c>
      <c r="AZ40" s="116">
        <v>1103097.16</v>
      </c>
      <c r="BA40" s="116">
        <v>1502.5</v>
      </c>
      <c r="BB40" s="117">
        <v>2252.38</v>
      </c>
      <c r="BC40" s="116">
        <v>422.5</v>
      </c>
      <c r="BD40" s="116">
        <v>377.5</v>
      </c>
      <c r="BE40" s="116">
        <v>1100.0</v>
      </c>
      <c r="BF40" s="116">
        <v>3262.5</v>
      </c>
      <c r="BG40" s="116">
        <v>8917.38</v>
      </c>
      <c r="BH40" s="118">
        <v>128.0</v>
      </c>
      <c r="BI40" s="118">
        <v>643549.44</v>
      </c>
      <c r="BJ40" s="118">
        <v>0.0</v>
      </c>
      <c r="BK40" s="118">
        <v>0.0</v>
      </c>
      <c r="BL40" s="118">
        <v>45144.33</v>
      </c>
      <c r="BM40" s="118">
        <v>99183.71</v>
      </c>
      <c r="BN40" s="118">
        <v>8906.88</v>
      </c>
      <c r="BO40" s="118">
        <v>8776.56</v>
      </c>
      <c r="BP40" s="118">
        <v>7378.98</v>
      </c>
      <c r="BQ40" s="118">
        <v>11027.03</v>
      </c>
      <c r="BR40" s="118">
        <v>22172.4</v>
      </c>
      <c r="BS40" s="118">
        <v>0.0</v>
      </c>
      <c r="BT40" s="118">
        <v>14787.78</v>
      </c>
      <c r="BU40" s="118">
        <v>42987.97</v>
      </c>
      <c r="BV40" s="118">
        <v>7223.57</v>
      </c>
      <c r="BW40" s="118">
        <v>171859.34</v>
      </c>
      <c r="BX40" s="118">
        <v>5039.9</v>
      </c>
      <c r="BY40" s="118">
        <v>0.0</v>
      </c>
      <c r="BZ40" s="118">
        <v>1088037.89</v>
      </c>
      <c r="CA40" s="118">
        <v>17433.6</v>
      </c>
      <c r="CB40" s="118">
        <v>0.0</v>
      </c>
      <c r="CC40" s="118">
        <v>0.0</v>
      </c>
      <c r="CD40" s="118">
        <v>10292.119999999999</v>
      </c>
      <c r="CE40" s="118">
        <v>4500.78</v>
      </c>
      <c r="CF40" s="117">
        <v>0.0</v>
      </c>
      <c r="CG40" s="119">
        <v>32226.5</v>
      </c>
      <c r="CH40" s="119"/>
      <c r="CI40" s="119">
        <v>8630.0</v>
      </c>
      <c r="CJ40" s="119">
        <v>0.0</v>
      </c>
      <c r="CK40" s="116">
        <v>7.28</v>
      </c>
      <c r="CL40" s="116">
        <v>0.18</v>
      </c>
      <c r="CM40" s="116">
        <v>0.66</v>
      </c>
      <c r="CN40" s="116">
        <v>0.68</v>
      </c>
      <c r="CO40" s="116">
        <v>8.8</v>
      </c>
      <c r="CP40" s="120">
        <v>20.0</v>
      </c>
      <c r="CQ40" s="120">
        <v>1.0</v>
      </c>
      <c r="CR40" s="120">
        <v>0.0</v>
      </c>
      <c r="CS40" s="120">
        <v>0.0</v>
      </c>
      <c r="CT40" s="120">
        <v>6.0</v>
      </c>
      <c r="CU40" s="120">
        <v>0.0</v>
      </c>
      <c r="CV40" s="120">
        <v>0.0</v>
      </c>
      <c r="CW40" s="120">
        <v>0.0</v>
      </c>
      <c r="CX40" s="120">
        <v>19.0</v>
      </c>
      <c r="CY40" s="120">
        <v>1.0</v>
      </c>
      <c r="CZ40" s="120">
        <v>0.0</v>
      </c>
      <c r="DA40" s="120">
        <v>0.0</v>
      </c>
      <c r="DB40" s="120">
        <v>14.0</v>
      </c>
      <c r="DC40" s="120">
        <v>2.0</v>
      </c>
      <c r="DD40" s="120">
        <v>13.0</v>
      </c>
      <c r="DE40" s="121"/>
      <c r="DF40" s="122"/>
      <c r="DG40" s="122"/>
      <c r="DH40" s="122"/>
      <c r="DI40" s="122"/>
      <c r="DJ40" s="122"/>
      <c r="DK40" s="122"/>
      <c r="DL40" s="122"/>
      <c r="DM40" s="122"/>
      <c r="DN40" s="122"/>
      <c r="DO40" s="122"/>
      <c r="DP40" s="122"/>
    </row>
    <row r="41">
      <c r="A41" s="115">
        <v>2043659.0</v>
      </c>
      <c r="B41" s="115" t="s">
        <v>417</v>
      </c>
      <c r="C41" s="115" t="s">
        <v>379</v>
      </c>
      <c r="D41" s="115" t="s">
        <v>17</v>
      </c>
      <c r="E41" s="115">
        <v>176.0</v>
      </c>
      <c r="F41" s="115">
        <v>0.0</v>
      </c>
      <c r="G41" s="115">
        <v>0.0</v>
      </c>
      <c r="H41" s="116">
        <v>899916.16</v>
      </c>
      <c r="I41" s="115">
        <v>125.0</v>
      </c>
      <c r="J41" s="115">
        <v>0.0</v>
      </c>
      <c r="K41" s="116">
        <v>74643.75</v>
      </c>
      <c r="L41" s="115">
        <v>125.0</v>
      </c>
      <c r="M41" s="115">
        <v>0.0</v>
      </c>
      <c r="N41" s="116">
        <v>178850.0</v>
      </c>
      <c r="O41" s="115">
        <v>21.24137931</v>
      </c>
      <c r="P41" s="115">
        <v>57.65517241</v>
      </c>
      <c r="Q41" s="115">
        <v>26.29885057</v>
      </c>
      <c r="R41" s="115">
        <v>35.40229885</v>
      </c>
      <c r="S41" s="115">
        <v>17.1954023</v>
      </c>
      <c r="T41" s="115">
        <v>0.0</v>
      </c>
      <c r="U41" s="115">
        <v>0.0</v>
      </c>
      <c r="V41" s="115">
        <v>0.0</v>
      </c>
      <c r="W41" s="115">
        <v>0.0</v>
      </c>
      <c r="X41" s="115">
        <v>0.0</v>
      </c>
      <c r="Y41" s="115">
        <v>0.0</v>
      </c>
      <c r="Z41" s="115">
        <v>0.0</v>
      </c>
      <c r="AA41" s="116">
        <v>71656.77</v>
      </c>
      <c r="AB41" s="115">
        <v>45.41935484</v>
      </c>
      <c r="AC41" s="115">
        <v>0.0</v>
      </c>
      <c r="AD41" s="116">
        <v>32761.43</v>
      </c>
      <c r="AE41" s="115">
        <v>76.51543624</v>
      </c>
      <c r="AF41" s="115">
        <v>0.0</v>
      </c>
      <c r="AG41" s="116">
        <v>108573.87</v>
      </c>
      <c r="AH41" s="115">
        <v>14.44</v>
      </c>
      <c r="AI41" s="115">
        <v>0.0</v>
      </c>
      <c r="AJ41" s="116">
        <v>16818.85</v>
      </c>
      <c r="AK41" s="116">
        <v>180564.7</v>
      </c>
      <c r="AL41" s="116">
        <v>6606.6</v>
      </c>
      <c r="AM41" s="116">
        <v>1397537.59</v>
      </c>
      <c r="AN41" s="116">
        <v>46777.31</v>
      </c>
      <c r="AO41" s="116">
        <v>6606.6</v>
      </c>
      <c r="AP41" s="116">
        <v>180564.7</v>
      </c>
      <c r="AQ41" s="116">
        <v>1257143.6</v>
      </c>
      <c r="AR41" s="116">
        <v>156.0</v>
      </c>
      <c r="AS41" s="116">
        <v>8058.612821</v>
      </c>
      <c r="AT41" s="116">
        <v>8058.612821</v>
      </c>
      <c r="AU41" s="116">
        <v>1418315.856</v>
      </c>
      <c r="AV41" s="116">
        <v>6606.6</v>
      </c>
      <c r="AW41" s="116">
        <v>180564.7</v>
      </c>
      <c r="AX41" s="116">
        <v>1605487.16</v>
      </c>
      <c r="AY41" s="116">
        <v>35095.02</v>
      </c>
      <c r="AZ41" s="116">
        <v>1605487.16</v>
      </c>
      <c r="BA41" s="116">
        <v>2115.52</v>
      </c>
      <c r="BB41" s="117">
        <v>3906.06</v>
      </c>
      <c r="BC41" s="116">
        <v>594.88</v>
      </c>
      <c r="BD41" s="116">
        <v>531.52</v>
      </c>
      <c r="BE41" s="116">
        <v>1548.8</v>
      </c>
      <c r="BF41" s="116">
        <v>4593.6</v>
      </c>
      <c r="BG41" s="116">
        <v>13290.38</v>
      </c>
      <c r="BH41" s="118">
        <v>156.0</v>
      </c>
      <c r="BI41" s="118">
        <v>784325.8799999999</v>
      </c>
      <c r="BJ41" s="118">
        <v>0.0</v>
      </c>
      <c r="BK41" s="118">
        <v>0.0</v>
      </c>
      <c r="BL41" s="118">
        <v>67423.35</v>
      </c>
      <c r="BM41" s="118">
        <v>144381.35</v>
      </c>
      <c r="BN41" s="118">
        <v>4731.78</v>
      </c>
      <c r="BO41" s="118">
        <v>16878.0</v>
      </c>
      <c r="BP41" s="118">
        <v>14757.96</v>
      </c>
      <c r="BQ41" s="118">
        <v>18571.84</v>
      </c>
      <c r="BR41" s="118">
        <v>9238.5</v>
      </c>
      <c r="BS41" s="118">
        <v>2433.99</v>
      </c>
      <c r="BT41" s="118">
        <v>36907.72</v>
      </c>
      <c r="BU41" s="118">
        <v>97696.64</v>
      </c>
      <c r="BV41" s="118">
        <v>8732.29</v>
      </c>
      <c r="BW41" s="118">
        <v>171859.34</v>
      </c>
      <c r="BX41" s="118">
        <v>6606.6</v>
      </c>
      <c r="BY41" s="118">
        <v>12992.35</v>
      </c>
      <c r="BZ41" s="118">
        <v>1397537.59</v>
      </c>
      <c r="CA41" s="118">
        <v>21247.2</v>
      </c>
      <c r="CB41" s="118">
        <v>0.0</v>
      </c>
      <c r="CC41" s="118">
        <v>0.0</v>
      </c>
      <c r="CD41" s="118">
        <v>14982.2</v>
      </c>
      <c r="CE41" s="118">
        <v>4500.78</v>
      </c>
      <c r="CF41" s="117">
        <v>0.0</v>
      </c>
      <c r="CG41" s="119">
        <v>40730.18</v>
      </c>
      <c r="CH41" s="119"/>
      <c r="CI41" s="119">
        <v>8710.0</v>
      </c>
      <c r="CJ41" s="119">
        <v>0.0</v>
      </c>
      <c r="CK41" s="116">
        <v>7.28</v>
      </c>
      <c r="CL41" s="116">
        <v>0.19</v>
      </c>
      <c r="CM41" s="116">
        <v>0.66</v>
      </c>
      <c r="CN41" s="116">
        <v>0.68</v>
      </c>
      <c r="CO41" s="116">
        <v>8.81</v>
      </c>
      <c r="CP41" s="120">
        <v>15.0</v>
      </c>
      <c r="CQ41" s="120">
        <v>6.0</v>
      </c>
      <c r="CR41" s="120">
        <v>3.0</v>
      </c>
      <c r="CS41" s="120">
        <v>0.0</v>
      </c>
      <c r="CT41" s="120">
        <v>11.0</v>
      </c>
      <c r="CU41" s="120">
        <v>4.0</v>
      </c>
      <c r="CV41" s="120">
        <v>3.0</v>
      </c>
      <c r="CW41" s="120">
        <v>0.0</v>
      </c>
      <c r="CX41" s="120">
        <v>14.0</v>
      </c>
      <c r="CY41" s="120">
        <v>6.0</v>
      </c>
      <c r="CZ41" s="120">
        <v>3.0</v>
      </c>
      <c r="DA41" s="120">
        <v>0.0</v>
      </c>
      <c r="DB41" s="120">
        <v>9.0</v>
      </c>
      <c r="DC41" s="120">
        <v>5.0</v>
      </c>
      <c r="DD41" s="120">
        <v>6.0</v>
      </c>
      <c r="DE41" s="121"/>
      <c r="DF41" s="122"/>
      <c r="DG41" s="122"/>
      <c r="DH41" s="122"/>
      <c r="DI41" s="122"/>
      <c r="DJ41" s="122"/>
      <c r="DK41" s="122"/>
      <c r="DL41" s="122"/>
      <c r="DM41" s="122"/>
      <c r="DN41" s="122"/>
      <c r="DO41" s="122"/>
      <c r="DP41" s="122"/>
    </row>
    <row r="42">
      <c r="A42" s="115">
        <v>2043663.0</v>
      </c>
      <c r="B42" s="115" t="s">
        <v>418</v>
      </c>
      <c r="C42" s="115" t="s">
        <v>379</v>
      </c>
      <c r="D42" s="115" t="s">
        <v>17</v>
      </c>
      <c r="E42" s="115">
        <v>108.0</v>
      </c>
      <c r="F42" s="115">
        <v>0.0</v>
      </c>
      <c r="G42" s="115">
        <v>0.0</v>
      </c>
      <c r="H42" s="116">
        <v>552221.28</v>
      </c>
      <c r="I42" s="115">
        <v>28.0</v>
      </c>
      <c r="J42" s="115">
        <v>0.0</v>
      </c>
      <c r="K42" s="116">
        <v>16720.2</v>
      </c>
      <c r="L42" s="115">
        <v>31.0</v>
      </c>
      <c r="M42" s="115">
        <v>0.0</v>
      </c>
      <c r="N42" s="116">
        <v>44354.8</v>
      </c>
      <c r="O42" s="115">
        <v>9.0</v>
      </c>
      <c r="P42" s="115">
        <v>26.0</v>
      </c>
      <c r="Q42" s="115">
        <v>11.0</v>
      </c>
      <c r="R42" s="115">
        <v>13.0</v>
      </c>
      <c r="S42" s="115">
        <v>9.0</v>
      </c>
      <c r="T42" s="115">
        <v>5.0</v>
      </c>
      <c r="U42" s="115">
        <v>0.0</v>
      </c>
      <c r="V42" s="115">
        <v>0.0</v>
      </c>
      <c r="W42" s="115">
        <v>0.0</v>
      </c>
      <c r="X42" s="115">
        <v>0.0</v>
      </c>
      <c r="Y42" s="115">
        <v>0.0</v>
      </c>
      <c r="Z42" s="115">
        <v>0.0</v>
      </c>
      <c r="AA42" s="116">
        <v>34853.66</v>
      </c>
      <c r="AB42" s="115">
        <v>29.03225806</v>
      </c>
      <c r="AC42" s="115">
        <v>0.0</v>
      </c>
      <c r="AD42" s="116">
        <v>20941.26</v>
      </c>
      <c r="AE42" s="115">
        <v>44.56930714</v>
      </c>
      <c r="AF42" s="115">
        <v>0.0</v>
      </c>
      <c r="AG42" s="116">
        <v>63242.96</v>
      </c>
      <c r="AH42" s="115">
        <v>4.52</v>
      </c>
      <c r="AI42" s="115">
        <v>0.0</v>
      </c>
      <c r="AJ42" s="116">
        <v>5264.62</v>
      </c>
      <c r="AK42" s="116">
        <v>180564.7</v>
      </c>
      <c r="AL42" s="116">
        <v>3468.05</v>
      </c>
      <c r="AM42" s="116">
        <v>920343.68</v>
      </c>
      <c r="AN42" s="116">
        <v>27530.56</v>
      </c>
      <c r="AO42" s="116">
        <v>3468.05</v>
      </c>
      <c r="AP42" s="116">
        <v>180564.7</v>
      </c>
      <c r="AQ42" s="116">
        <v>763841.49</v>
      </c>
      <c r="AR42" s="116">
        <v>114.0</v>
      </c>
      <c r="AS42" s="116">
        <v>6700.363947</v>
      </c>
      <c r="AT42" s="116">
        <v>6700.363947</v>
      </c>
      <c r="AU42" s="116">
        <v>723639.3063</v>
      </c>
      <c r="AV42" s="116">
        <v>3468.05</v>
      </c>
      <c r="AW42" s="116">
        <v>180564.7</v>
      </c>
      <c r="AX42" s="116">
        <v>907672.06</v>
      </c>
      <c r="AY42" s="116">
        <v>0.0</v>
      </c>
      <c r="AZ42" s="116">
        <v>921631.53</v>
      </c>
      <c r="BA42" s="116">
        <v>1298.16</v>
      </c>
      <c r="BB42" s="117">
        <v>2496.77</v>
      </c>
      <c r="BC42" s="116">
        <v>365.04</v>
      </c>
      <c r="BD42" s="116">
        <v>326.16</v>
      </c>
      <c r="BE42" s="116">
        <v>950.4</v>
      </c>
      <c r="BF42" s="116">
        <v>2818.8</v>
      </c>
      <c r="BG42" s="116">
        <v>8255.33</v>
      </c>
      <c r="BH42" s="118">
        <v>114.0</v>
      </c>
      <c r="BI42" s="118">
        <v>573161.22</v>
      </c>
      <c r="BJ42" s="118">
        <v>0.0</v>
      </c>
      <c r="BK42" s="118">
        <v>0.0</v>
      </c>
      <c r="BL42" s="118">
        <v>15829.83</v>
      </c>
      <c r="BM42" s="118">
        <v>36409.21</v>
      </c>
      <c r="BN42" s="118">
        <v>2505.06</v>
      </c>
      <c r="BO42" s="118">
        <v>8439.0</v>
      </c>
      <c r="BP42" s="118">
        <v>7906.05</v>
      </c>
      <c r="BQ42" s="118">
        <v>7544.81</v>
      </c>
      <c r="BR42" s="118">
        <v>7390.8</v>
      </c>
      <c r="BS42" s="118">
        <v>2433.99</v>
      </c>
      <c r="BT42" s="118">
        <v>22494.98</v>
      </c>
      <c r="BU42" s="118">
        <v>57142.32</v>
      </c>
      <c r="BV42" s="118">
        <v>2468.82</v>
      </c>
      <c r="BW42" s="118">
        <v>171859.34</v>
      </c>
      <c r="BX42" s="118">
        <v>3468.05</v>
      </c>
      <c r="BY42" s="118">
        <v>1290.21</v>
      </c>
      <c r="BZ42" s="118">
        <v>920343.68</v>
      </c>
      <c r="CA42" s="118">
        <v>15526.8</v>
      </c>
      <c r="CB42" s="118">
        <v>0.0</v>
      </c>
      <c r="CC42" s="118">
        <v>0.0</v>
      </c>
      <c r="CD42" s="118">
        <v>3778.12</v>
      </c>
      <c r="CE42" s="118">
        <v>4500.78</v>
      </c>
      <c r="CF42" s="117">
        <v>12.0</v>
      </c>
      <c r="CG42" s="119">
        <v>23805.7</v>
      </c>
      <c r="CH42" s="119"/>
      <c r="CI42" s="119">
        <v>8505.0</v>
      </c>
      <c r="CJ42" s="116">
        <v>15080.0</v>
      </c>
      <c r="CK42" s="116">
        <v>7.28</v>
      </c>
      <c r="CL42" s="116">
        <v>0.18</v>
      </c>
      <c r="CM42" s="116">
        <v>0.25</v>
      </c>
      <c r="CN42" s="116">
        <v>0.68</v>
      </c>
      <c r="CO42" s="116">
        <v>8.39</v>
      </c>
      <c r="CP42" s="120">
        <v>6.0</v>
      </c>
      <c r="CQ42" s="120">
        <v>7.0</v>
      </c>
      <c r="CR42" s="120">
        <v>0.0</v>
      </c>
      <c r="CS42" s="120">
        <v>0.0</v>
      </c>
      <c r="CT42" s="120">
        <v>3.0</v>
      </c>
      <c r="CU42" s="120">
        <v>5.0</v>
      </c>
      <c r="CV42" s="120">
        <v>0.0</v>
      </c>
      <c r="CW42" s="120">
        <v>0.0</v>
      </c>
      <c r="CX42" s="120">
        <v>5.0</v>
      </c>
      <c r="CY42" s="120">
        <v>4.0</v>
      </c>
      <c r="CZ42" s="120">
        <v>0.0</v>
      </c>
      <c r="DA42" s="120">
        <v>0.0</v>
      </c>
      <c r="DB42" s="120">
        <v>3.0</v>
      </c>
      <c r="DC42" s="120">
        <v>1.0</v>
      </c>
      <c r="DD42" s="120">
        <v>3.0</v>
      </c>
      <c r="DE42" s="121"/>
      <c r="DF42" s="122"/>
      <c r="DG42" s="122"/>
      <c r="DH42" s="122"/>
      <c r="DI42" s="122"/>
      <c r="DJ42" s="122"/>
      <c r="DK42" s="122"/>
      <c r="DL42" s="122"/>
      <c r="DM42" s="122"/>
      <c r="DN42" s="122"/>
      <c r="DO42" s="122"/>
      <c r="DP42" s="122"/>
    </row>
    <row r="43">
      <c r="A43" s="115">
        <v>2043666.0</v>
      </c>
      <c r="B43" s="115" t="s">
        <v>419</v>
      </c>
      <c r="C43" s="115" t="s">
        <v>379</v>
      </c>
      <c r="D43" s="115" t="s">
        <v>17</v>
      </c>
      <c r="E43" s="115">
        <v>199.0</v>
      </c>
      <c r="F43" s="115">
        <v>0.0</v>
      </c>
      <c r="G43" s="115">
        <v>0.0</v>
      </c>
      <c r="H43" s="116">
        <v>1017518.84</v>
      </c>
      <c r="I43" s="115">
        <v>84.0</v>
      </c>
      <c r="J43" s="115">
        <v>0.0</v>
      </c>
      <c r="K43" s="116">
        <v>50160.6</v>
      </c>
      <c r="L43" s="115">
        <v>87.0</v>
      </c>
      <c r="M43" s="115">
        <v>0.0</v>
      </c>
      <c r="N43" s="116">
        <v>124479.6</v>
      </c>
      <c r="O43" s="115">
        <v>18.0</v>
      </c>
      <c r="P43" s="115">
        <v>35.0</v>
      </c>
      <c r="Q43" s="115">
        <v>15.0</v>
      </c>
      <c r="R43" s="115">
        <v>12.0</v>
      </c>
      <c r="S43" s="115">
        <v>9.0</v>
      </c>
      <c r="T43" s="115">
        <v>2.0</v>
      </c>
      <c r="U43" s="115">
        <v>0.0</v>
      </c>
      <c r="V43" s="115">
        <v>0.0</v>
      </c>
      <c r="W43" s="115">
        <v>0.0</v>
      </c>
      <c r="X43" s="115">
        <v>0.0</v>
      </c>
      <c r="Y43" s="115">
        <v>0.0</v>
      </c>
      <c r="Z43" s="115">
        <v>0.0</v>
      </c>
      <c r="AA43" s="116">
        <v>39571.8</v>
      </c>
      <c r="AB43" s="115">
        <v>61.23076923</v>
      </c>
      <c r="AC43" s="115">
        <v>0.0</v>
      </c>
      <c r="AD43" s="116">
        <v>44166.37</v>
      </c>
      <c r="AE43" s="115">
        <v>53.92003415</v>
      </c>
      <c r="AF43" s="115">
        <v>0.0</v>
      </c>
      <c r="AG43" s="116">
        <v>76511.45</v>
      </c>
      <c r="AH43" s="115">
        <v>0.0</v>
      </c>
      <c r="AI43" s="115">
        <v>0.0</v>
      </c>
      <c r="AJ43" s="116">
        <v>0.0</v>
      </c>
      <c r="AK43" s="116">
        <v>180564.7</v>
      </c>
      <c r="AL43" s="116">
        <v>32487.0</v>
      </c>
      <c r="AM43" s="116">
        <v>1424728.82</v>
      </c>
      <c r="AN43" s="116">
        <v>44285.3</v>
      </c>
      <c r="AO43" s="116">
        <v>32487.0</v>
      </c>
      <c r="AP43" s="116">
        <v>180564.7</v>
      </c>
      <c r="AQ43" s="116">
        <v>1255962.42</v>
      </c>
      <c r="AR43" s="116">
        <v>184.0</v>
      </c>
      <c r="AS43" s="116">
        <v>6825.882717</v>
      </c>
      <c r="AT43" s="116">
        <v>6825.882717</v>
      </c>
      <c r="AU43" s="116">
        <v>1358350.661</v>
      </c>
      <c r="AV43" s="116">
        <v>32487.0</v>
      </c>
      <c r="AW43" s="116">
        <v>180564.7</v>
      </c>
      <c r="AX43" s="116">
        <v>1571402.36</v>
      </c>
      <c r="AY43" s="116">
        <v>5942.0</v>
      </c>
      <c r="AZ43" s="116">
        <v>1571402.36</v>
      </c>
      <c r="BA43" s="116">
        <v>2391.98</v>
      </c>
      <c r="BB43" s="117">
        <v>5265.85</v>
      </c>
      <c r="BC43" s="116">
        <v>672.62</v>
      </c>
      <c r="BD43" s="116">
        <v>600.98</v>
      </c>
      <c r="BE43" s="116">
        <v>1751.2</v>
      </c>
      <c r="BF43" s="116">
        <v>5193.9</v>
      </c>
      <c r="BG43" s="116">
        <v>15876.53</v>
      </c>
      <c r="BH43" s="118">
        <v>184.0</v>
      </c>
      <c r="BI43" s="118">
        <v>925102.32</v>
      </c>
      <c r="BJ43" s="118">
        <v>0.0</v>
      </c>
      <c r="BK43" s="118">
        <v>0.0</v>
      </c>
      <c r="BL43" s="118">
        <v>38695.14</v>
      </c>
      <c r="BM43" s="118">
        <v>85373.32</v>
      </c>
      <c r="BN43" s="118">
        <v>4175.1</v>
      </c>
      <c r="BO43" s="118">
        <v>9114.12</v>
      </c>
      <c r="BP43" s="118">
        <v>8433.12</v>
      </c>
      <c r="BQ43" s="118">
        <v>4642.96</v>
      </c>
      <c r="BR43" s="118">
        <v>6159.0</v>
      </c>
      <c r="BS43" s="118">
        <v>811.33</v>
      </c>
      <c r="BT43" s="118">
        <v>47440.36</v>
      </c>
      <c r="BU43" s="118">
        <v>66299.29</v>
      </c>
      <c r="BV43" s="118">
        <v>4526.16</v>
      </c>
      <c r="BW43" s="118">
        <v>171859.34</v>
      </c>
      <c r="BX43" s="118">
        <v>32487.0</v>
      </c>
      <c r="BY43" s="118">
        <v>19610.25</v>
      </c>
      <c r="BZ43" s="118">
        <v>1424728.82</v>
      </c>
      <c r="CA43" s="118">
        <v>25060.8</v>
      </c>
      <c r="CB43" s="118">
        <v>0.0</v>
      </c>
      <c r="CC43" s="118">
        <v>0.0</v>
      </c>
      <c r="CD43" s="118">
        <v>8859.039999999999</v>
      </c>
      <c r="CE43" s="118">
        <v>4500.78</v>
      </c>
      <c r="CF43" s="117">
        <v>0.0</v>
      </c>
      <c r="CG43" s="119">
        <v>38420.619999999995</v>
      </c>
      <c r="CH43" s="119"/>
      <c r="CI43" s="119">
        <v>8845.0</v>
      </c>
      <c r="CJ43" s="119">
        <v>0.0</v>
      </c>
      <c r="CK43" s="116">
        <v>7.28</v>
      </c>
      <c r="CL43" s="116">
        <v>0.13</v>
      </c>
      <c r="CM43" s="116">
        <v>0.66</v>
      </c>
      <c r="CN43" s="116">
        <v>0.68</v>
      </c>
      <c r="CO43" s="116">
        <v>8.75</v>
      </c>
      <c r="CP43" s="120">
        <v>21.0</v>
      </c>
      <c r="CQ43" s="120">
        <v>11.0</v>
      </c>
      <c r="CR43" s="120">
        <v>0.0</v>
      </c>
      <c r="CS43" s="120">
        <v>0.0</v>
      </c>
      <c r="CT43" s="120">
        <v>11.0</v>
      </c>
      <c r="CU43" s="120">
        <v>4.0</v>
      </c>
      <c r="CV43" s="120">
        <v>0.0</v>
      </c>
      <c r="CW43" s="120">
        <v>0.0</v>
      </c>
      <c r="CX43" s="120">
        <v>16.0</v>
      </c>
      <c r="CY43" s="120">
        <v>8.0</v>
      </c>
      <c r="CZ43" s="120">
        <v>0.0</v>
      </c>
      <c r="DA43" s="120">
        <v>0.0</v>
      </c>
      <c r="DB43" s="120">
        <v>6.0</v>
      </c>
      <c r="DC43" s="120">
        <v>5.0</v>
      </c>
      <c r="DD43" s="120">
        <v>1.0</v>
      </c>
      <c r="DE43" s="121"/>
      <c r="DF43" s="122"/>
      <c r="DG43" s="122"/>
      <c r="DH43" s="122"/>
      <c r="DI43" s="122"/>
      <c r="DJ43" s="122"/>
      <c r="DK43" s="122"/>
      <c r="DL43" s="122"/>
      <c r="DM43" s="122"/>
      <c r="DN43" s="122"/>
      <c r="DO43" s="122"/>
      <c r="DP43" s="122"/>
    </row>
    <row r="44">
      <c r="A44" s="115">
        <v>2044310.0</v>
      </c>
      <c r="B44" s="115" t="s">
        <v>420</v>
      </c>
      <c r="C44" s="115" t="s">
        <v>379</v>
      </c>
      <c r="D44" s="115" t="s">
        <v>421</v>
      </c>
      <c r="E44" s="115">
        <v>0.0</v>
      </c>
      <c r="F44" s="115">
        <v>759.0</v>
      </c>
      <c r="G44" s="115">
        <v>510.0</v>
      </c>
      <c r="H44" s="116">
        <v>9499617.81</v>
      </c>
      <c r="I44" s="115">
        <v>0.0</v>
      </c>
      <c r="J44" s="115">
        <v>515.0</v>
      </c>
      <c r="K44" s="116">
        <v>307532.25</v>
      </c>
      <c r="L44" s="115">
        <v>0.0</v>
      </c>
      <c r="M44" s="115">
        <v>551.0</v>
      </c>
      <c r="N44" s="116">
        <v>1123918.78</v>
      </c>
      <c r="O44" s="115">
        <v>0.0</v>
      </c>
      <c r="P44" s="115">
        <v>0.0</v>
      </c>
      <c r="Q44" s="115">
        <v>0.0</v>
      </c>
      <c r="R44" s="115">
        <v>0.0</v>
      </c>
      <c r="S44" s="115">
        <v>0.0</v>
      </c>
      <c r="T44" s="115">
        <v>0.0</v>
      </c>
      <c r="U44" s="115">
        <v>220.0</v>
      </c>
      <c r="V44" s="115">
        <v>221.0</v>
      </c>
      <c r="W44" s="115">
        <v>90.0</v>
      </c>
      <c r="X44" s="115">
        <v>120.0</v>
      </c>
      <c r="Y44" s="115">
        <v>142.0</v>
      </c>
      <c r="Z44" s="115">
        <v>20.0</v>
      </c>
      <c r="AA44" s="116">
        <v>530436.8</v>
      </c>
      <c r="AB44" s="115">
        <v>0.0</v>
      </c>
      <c r="AC44" s="115">
        <v>17.01340694</v>
      </c>
      <c r="AD44" s="116">
        <v>32792.32</v>
      </c>
      <c r="AE44" s="115">
        <v>0.0</v>
      </c>
      <c r="AF44" s="115">
        <v>174.9107243</v>
      </c>
      <c r="AG44" s="116">
        <v>377462.59</v>
      </c>
      <c r="AH44" s="115">
        <v>0.0</v>
      </c>
      <c r="AI44" s="115">
        <v>0.0</v>
      </c>
      <c r="AJ44" s="116">
        <v>0.0</v>
      </c>
      <c r="AK44" s="116">
        <v>180564.7</v>
      </c>
      <c r="AL44" s="116">
        <v>249040.0</v>
      </c>
      <c r="AM44" s="116">
        <v>1.208215015E7</v>
      </c>
      <c r="AN44" s="116">
        <v>314798.75</v>
      </c>
      <c r="AO44" s="116">
        <v>249040.0</v>
      </c>
      <c r="AP44" s="116">
        <v>180564.7</v>
      </c>
      <c r="AQ44" s="116">
        <v>1.19673442E7</v>
      </c>
      <c r="AR44" s="116">
        <v>1274.0</v>
      </c>
      <c r="AS44" s="116">
        <v>9393.51978</v>
      </c>
      <c r="AT44" s="116">
        <v>9393.51978</v>
      </c>
      <c r="AU44" s="116">
        <v>1.19203766E7</v>
      </c>
      <c r="AV44" s="116">
        <v>249040.0</v>
      </c>
      <c r="AW44" s="116">
        <v>180564.7</v>
      </c>
      <c r="AX44" s="116">
        <v>1.23499813E7</v>
      </c>
      <c r="AY44" s="116">
        <v>48616.05</v>
      </c>
      <c r="AZ44" s="116">
        <v>1.23499813E7</v>
      </c>
      <c r="BA44" s="116">
        <v>15253.38</v>
      </c>
      <c r="BB44" s="117">
        <v>1463.15</v>
      </c>
      <c r="BC44" s="116">
        <v>4289.22</v>
      </c>
      <c r="BD44" s="116">
        <v>3832.38</v>
      </c>
      <c r="BE44" s="116">
        <v>11167.2</v>
      </c>
      <c r="BF44" s="116">
        <v>33120.9</v>
      </c>
      <c r="BG44" s="116">
        <v>69126.23</v>
      </c>
      <c r="BH44" s="118">
        <v>1274.0</v>
      </c>
      <c r="BI44" s="118">
        <v>0.0</v>
      </c>
      <c r="BJ44" s="118">
        <v>5410097.92</v>
      </c>
      <c r="BK44" s="118">
        <v>3919436.7</v>
      </c>
      <c r="BL44" s="118">
        <v>269693.4</v>
      </c>
      <c r="BM44" s="118">
        <v>915359.69</v>
      </c>
      <c r="BN44" s="118">
        <v>89399.4</v>
      </c>
      <c r="BO44" s="118">
        <v>119389.76</v>
      </c>
      <c r="BP44" s="118">
        <v>63177.24</v>
      </c>
      <c r="BQ44" s="118">
        <v>93841.38</v>
      </c>
      <c r="BR44" s="118">
        <v>120887.43</v>
      </c>
      <c r="BS44" s="118">
        <v>21378.8</v>
      </c>
      <c r="BT44" s="118">
        <v>35922.05</v>
      </c>
      <c r="BU44" s="118">
        <v>376363.49</v>
      </c>
      <c r="BV44" s="118">
        <v>0.0</v>
      </c>
      <c r="BW44" s="118">
        <v>171859.34</v>
      </c>
      <c r="BX44" s="118">
        <v>249040.0</v>
      </c>
      <c r="BY44" s="118">
        <v>226303.56</v>
      </c>
      <c r="BZ44" s="118">
        <v>1.208215015E7</v>
      </c>
      <c r="CA44" s="118">
        <v>0.0</v>
      </c>
      <c r="CB44" s="118">
        <v>109488.84</v>
      </c>
      <c r="CC44" s="118">
        <v>82752.6</v>
      </c>
      <c r="CD44" s="118">
        <v>64749.16</v>
      </c>
      <c r="CE44" s="118">
        <v>4500.78</v>
      </c>
      <c r="CF44" s="117">
        <v>0.0</v>
      </c>
      <c r="CG44" s="119">
        <v>261491.38</v>
      </c>
      <c r="CH44" s="119"/>
      <c r="CI44" s="119">
        <v>0.0</v>
      </c>
      <c r="CJ44" s="119">
        <v>0.0</v>
      </c>
      <c r="CK44" s="116">
        <v>0.0</v>
      </c>
      <c r="CL44" s="116">
        <v>0.0</v>
      </c>
      <c r="CM44" s="116">
        <v>0.0</v>
      </c>
      <c r="CN44" s="116">
        <v>0.0</v>
      </c>
      <c r="CO44" s="116">
        <v>0.0</v>
      </c>
      <c r="CP44" s="120">
        <v>0.0</v>
      </c>
      <c r="CQ44" s="120">
        <v>0.0</v>
      </c>
      <c r="CR44" s="120">
        <v>0.0</v>
      </c>
      <c r="CS44" s="120">
        <v>0.0</v>
      </c>
      <c r="CT44" s="120">
        <v>0.0</v>
      </c>
      <c r="CU44" s="120">
        <v>0.0</v>
      </c>
      <c r="CV44" s="120">
        <v>0.0</v>
      </c>
      <c r="CW44" s="120">
        <v>0.0</v>
      </c>
      <c r="CX44" s="120">
        <v>0.0</v>
      </c>
      <c r="CY44" s="120">
        <v>0.0</v>
      </c>
      <c r="CZ44" s="120">
        <v>0.0</v>
      </c>
      <c r="DA44" s="120">
        <v>0.0</v>
      </c>
      <c r="DB44" s="120">
        <v>0.0</v>
      </c>
      <c r="DC44" s="120">
        <v>0.0</v>
      </c>
      <c r="DD44" s="120">
        <v>0.0</v>
      </c>
      <c r="DE44" s="121"/>
      <c r="DF44" s="122"/>
      <c r="DG44" s="122"/>
      <c r="DH44" s="122"/>
      <c r="DI44" s="122"/>
      <c r="DJ44" s="122"/>
      <c r="DK44" s="122"/>
      <c r="DL44" s="122"/>
      <c r="DM44" s="122"/>
      <c r="DN44" s="122"/>
      <c r="DO44" s="122"/>
      <c r="DP44" s="122"/>
    </row>
    <row r="45">
      <c r="A45" s="115">
        <v>2044318.0</v>
      </c>
      <c r="B45" s="115" t="s">
        <v>422</v>
      </c>
      <c r="C45" s="115" t="s">
        <v>379</v>
      </c>
      <c r="D45" s="115" t="s">
        <v>421</v>
      </c>
      <c r="E45" s="115">
        <v>0.0</v>
      </c>
      <c r="F45" s="115">
        <v>238.0</v>
      </c>
      <c r="G45" s="115">
        <v>143.0</v>
      </c>
      <c r="H45" s="116">
        <v>2843770.11</v>
      </c>
      <c r="I45" s="115">
        <v>0.0</v>
      </c>
      <c r="J45" s="115">
        <v>12.0</v>
      </c>
      <c r="K45" s="116">
        <v>7165.8</v>
      </c>
      <c r="L45" s="115">
        <v>0.0</v>
      </c>
      <c r="M45" s="115">
        <v>12.0</v>
      </c>
      <c r="N45" s="116">
        <v>24477.36</v>
      </c>
      <c r="O45" s="115">
        <v>0.0</v>
      </c>
      <c r="P45" s="115">
        <v>0.0</v>
      </c>
      <c r="Q45" s="115">
        <v>0.0</v>
      </c>
      <c r="R45" s="115">
        <v>0.0</v>
      </c>
      <c r="S45" s="115">
        <v>0.0</v>
      </c>
      <c r="T45" s="115">
        <v>0.0</v>
      </c>
      <c r="U45" s="115">
        <v>23.0</v>
      </c>
      <c r="V45" s="115">
        <v>26.0</v>
      </c>
      <c r="W45" s="115">
        <v>5.0</v>
      </c>
      <c r="X45" s="115">
        <v>2.0</v>
      </c>
      <c r="Y45" s="115">
        <v>3.0</v>
      </c>
      <c r="Z45" s="115">
        <v>0.0</v>
      </c>
      <c r="AA45" s="116">
        <v>31743.73</v>
      </c>
      <c r="AB45" s="115">
        <v>0.0</v>
      </c>
      <c r="AC45" s="115">
        <v>29.0</v>
      </c>
      <c r="AD45" s="116">
        <v>55895.76</v>
      </c>
      <c r="AE45" s="115">
        <v>0.0</v>
      </c>
      <c r="AF45" s="115">
        <v>40.30733676</v>
      </c>
      <c r="AG45" s="116">
        <v>86984.44</v>
      </c>
      <c r="AH45" s="115">
        <v>0.0</v>
      </c>
      <c r="AI45" s="115">
        <v>0.0</v>
      </c>
      <c r="AJ45" s="116">
        <v>0.0</v>
      </c>
      <c r="AK45" s="116">
        <v>180564.7</v>
      </c>
      <c r="AL45" s="116">
        <v>28583.0</v>
      </c>
      <c r="AM45" s="116">
        <v>3567150.55</v>
      </c>
      <c r="AN45" s="116">
        <v>76656.57</v>
      </c>
      <c r="AO45" s="116">
        <v>28583.0</v>
      </c>
      <c r="AP45" s="116">
        <v>180564.7</v>
      </c>
      <c r="AQ45" s="116">
        <v>3434659.42</v>
      </c>
      <c r="AR45" s="116">
        <v>384.0</v>
      </c>
      <c r="AS45" s="116">
        <v>8944.425573</v>
      </c>
      <c r="AT45" s="116">
        <v>8944.425573</v>
      </c>
      <c r="AU45" s="116">
        <v>3407826.143</v>
      </c>
      <c r="AV45" s="116">
        <v>28583.0</v>
      </c>
      <c r="AW45" s="116">
        <v>180564.7</v>
      </c>
      <c r="AX45" s="116">
        <v>3616973.84</v>
      </c>
      <c r="AY45" s="116">
        <v>357788.94</v>
      </c>
      <c r="AZ45" s="116">
        <v>3616973.84</v>
      </c>
      <c r="BA45" s="116">
        <v>4579.62</v>
      </c>
      <c r="BB45" s="117">
        <v>2494.0</v>
      </c>
      <c r="BC45" s="116">
        <v>1287.78</v>
      </c>
      <c r="BD45" s="116">
        <v>1150.62</v>
      </c>
      <c r="BE45" s="116">
        <v>3352.8</v>
      </c>
      <c r="BF45" s="116">
        <v>9944.1</v>
      </c>
      <c r="BG45" s="116">
        <v>22808.92</v>
      </c>
      <c r="BH45" s="118">
        <v>384.0</v>
      </c>
      <c r="BI45" s="118">
        <v>0.0</v>
      </c>
      <c r="BJ45" s="118">
        <v>1607450.56</v>
      </c>
      <c r="BK45" s="118">
        <v>1206571.69</v>
      </c>
      <c r="BL45" s="118">
        <v>5276.61</v>
      </c>
      <c r="BM45" s="118">
        <v>16575.93</v>
      </c>
      <c r="BN45" s="118">
        <v>8859.4</v>
      </c>
      <c r="BO45" s="118">
        <v>12791.76</v>
      </c>
      <c r="BP45" s="118">
        <v>6016.88</v>
      </c>
      <c r="BQ45" s="118">
        <v>823.17</v>
      </c>
      <c r="BR45" s="118">
        <v>882.39</v>
      </c>
      <c r="BS45" s="118">
        <v>1125.2</v>
      </c>
      <c r="BT45" s="118">
        <v>19040.25</v>
      </c>
      <c r="BU45" s="118">
        <v>198454.15</v>
      </c>
      <c r="BV45" s="118">
        <v>0.0</v>
      </c>
      <c r="BW45" s="118">
        <v>171859.34</v>
      </c>
      <c r="BX45" s="118">
        <v>28583.0</v>
      </c>
      <c r="BY45" s="118">
        <v>282840.22</v>
      </c>
      <c r="BZ45" s="118">
        <v>3567150.55</v>
      </c>
      <c r="CA45" s="118">
        <v>0.0</v>
      </c>
      <c r="CB45" s="118">
        <v>32531.370000000003</v>
      </c>
      <c r="CC45" s="118">
        <v>25474.82</v>
      </c>
      <c r="CD45" s="118">
        <v>1172.52</v>
      </c>
      <c r="CE45" s="118">
        <v>4500.78</v>
      </c>
      <c r="CF45" s="117">
        <v>0.0</v>
      </c>
      <c r="CG45" s="119">
        <v>63679.490000000005</v>
      </c>
      <c r="CH45" s="119"/>
      <c r="CI45" s="119">
        <v>0.0</v>
      </c>
      <c r="CJ45" s="119">
        <v>0.0</v>
      </c>
      <c r="CK45" s="116">
        <v>0.0</v>
      </c>
      <c r="CL45" s="116">
        <v>0.0</v>
      </c>
      <c r="CM45" s="116">
        <v>0.0</v>
      </c>
      <c r="CN45" s="116">
        <v>0.0</v>
      </c>
      <c r="CO45" s="116">
        <v>0.0</v>
      </c>
      <c r="CP45" s="120">
        <v>0.0</v>
      </c>
      <c r="CQ45" s="120">
        <v>0.0</v>
      </c>
      <c r="CR45" s="120">
        <v>0.0</v>
      </c>
      <c r="CS45" s="120">
        <v>0.0</v>
      </c>
      <c r="CT45" s="120">
        <v>0.0</v>
      </c>
      <c r="CU45" s="120">
        <v>0.0</v>
      </c>
      <c r="CV45" s="120">
        <v>0.0</v>
      </c>
      <c r="CW45" s="120">
        <v>0.0</v>
      </c>
      <c r="CX45" s="120">
        <v>0.0</v>
      </c>
      <c r="CY45" s="120">
        <v>0.0</v>
      </c>
      <c r="CZ45" s="120">
        <v>0.0</v>
      </c>
      <c r="DA45" s="120">
        <v>0.0</v>
      </c>
      <c r="DB45" s="120">
        <v>0.0</v>
      </c>
      <c r="DC45" s="120">
        <v>0.0</v>
      </c>
      <c r="DD45" s="120">
        <v>0.0</v>
      </c>
      <c r="DE45" s="121"/>
      <c r="DF45" s="122"/>
      <c r="DG45" s="122"/>
      <c r="DH45" s="122"/>
      <c r="DI45" s="122"/>
      <c r="DJ45" s="122"/>
      <c r="DK45" s="122"/>
      <c r="DL45" s="122"/>
      <c r="DM45" s="122"/>
      <c r="DN45" s="122"/>
      <c r="DO45" s="122"/>
      <c r="DP45" s="122"/>
    </row>
    <row r="46">
      <c r="A46" s="115">
        <v>2044641.0</v>
      </c>
      <c r="B46" s="115" t="s">
        <v>423</v>
      </c>
      <c r="C46" s="115" t="s">
        <v>379</v>
      </c>
      <c r="D46" s="115" t="s">
        <v>421</v>
      </c>
      <c r="E46" s="115">
        <v>0.0</v>
      </c>
      <c r="F46" s="115">
        <v>246.0</v>
      </c>
      <c r="G46" s="115">
        <v>156.0</v>
      </c>
      <c r="H46" s="116">
        <v>3004741.62</v>
      </c>
      <c r="I46" s="115">
        <v>0.0</v>
      </c>
      <c r="J46" s="115">
        <v>219.0</v>
      </c>
      <c r="K46" s="116">
        <v>130775.85</v>
      </c>
      <c r="L46" s="115">
        <v>0.0</v>
      </c>
      <c r="M46" s="115">
        <v>226.0</v>
      </c>
      <c r="N46" s="116">
        <v>460990.28</v>
      </c>
      <c r="O46" s="115">
        <v>0.0</v>
      </c>
      <c r="P46" s="115">
        <v>0.0</v>
      </c>
      <c r="Q46" s="115">
        <v>0.0</v>
      </c>
      <c r="R46" s="115">
        <v>0.0</v>
      </c>
      <c r="S46" s="115">
        <v>0.0</v>
      </c>
      <c r="T46" s="115">
        <v>0.0</v>
      </c>
      <c r="U46" s="115">
        <v>61.0</v>
      </c>
      <c r="V46" s="115">
        <v>68.0</v>
      </c>
      <c r="W46" s="115">
        <v>84.0</v>
      </c>
      <c r="X46" s="115">
        <v>70.0</v>
      </c>
      <c r="Y46" s="115">
        <v>60.0</v>
      </c>
      <c r="Z46" s="115">
        <v>12.0</v>
      </c>
      <c r="AA46" s="116">
        <v>252890.84</v>
      </c>
      <c r="AB46" s="115">
        <v>0.0</v>
      </c>
      <c r="AC46" s="115">
        <v>38.0</v>
      </c>
      <c r="AD46" s="116">
        <v>73242.72</v>
      </c>
      <c r="AE46" s="115">
        <v>0.0</v>
      </c>
      <c r="AF46" s="115">
        <v>100.1098359</v>
      </c>
      <c r="AG46" s="116">
        <v>216040.03</v>
      </c>
      <c r="AH46" s="115">
        <v>0.0</v>
      </c>
      <c r="AI46" s="115">
        <v>5.88</v>
      </c>
      <c r="AJ46" s="116">
        <v>9838.47</v>
      </c>
      <c r="AK46" s="116">
        <v>180564.7</v>
      </c>
      <c r="AL46" s="116">
        <v>58864.0</v>
      </c>
      <c r="AM46" s="116">
        <v>4332266.85</v>
      </c>
      <c r="AN46" s="116">
        <v>112287.35</v>
      </c>
      <c r="AO46" s="116">
        <v>58864.0</v>
      </c>
      <c r="AP46" s="116">
        <v>180564.7</v>
      </c>
      <c r="AQ46" s="116">
        <v>4205125.5</v>
      </c>
      <c r="AR46" s="116">
        <v>407.0</v>
      </c>
      <c r="AS46" s="116">
        <v>10332.00369</v>
      </c>
      <c r="AT46" s="116">
        <v>10332.00369</v>
      </c>
      <c r="AU46" s="116">
        <v>4153465.482</v>
      </c>
      <c r="AV46" s="116">
        <v>58864.0</v>
      </c>
      <c r="AW46" s="116">
        <v>180564.7</v>
      </c>
      <c r="AX46" s="116">
        <v>4392894.18</v>
      </c>
      <c r="AY46" s="116">
        <v>4945.67</v>
      </c>
      <c r="AZ46" s="116">
        <v>4392894.18</v>
      </c>
      <c r="BA46" s="116">
        <v>4832.04</v>
      </c>
      <c r="BB46" s="117">
        <v>3268.0</v>
      </c>
      <c r="BC46" s="116">
        <v>1358.76</v>
      </c>
      <c r="BD46" s="116">
        <v>1214.04</v>
      </c>
      <c r="BE46" s="116">
        <v>3537.6</v>
      </c>
      <c r="BF46" s="116">
        <v>10492.2</v>
      </c>
      <c r="BG46" s="116">
        <v>24702.64</v>
      </c>
      <c r="BH46" s="118">
        <v>407.0</v>
      </c>
      <c r="BI46" s="118">
        <v>0.0</v>
      </c>
      <c r="BJ46" s="118">
        <v>1550800.3199999998</v>
      </c>
      <c r="BK46" s="118">
        <v>1444811.96</v>
      </c>
      <c r="BL46" s="118">
        <v>116085.42</v>
      </c>
      <c r="BM46" s="118">
        <v>381246.39</v>
      </c>
      <c r="BN46" s="118">
        <v>21745.8</v>
      </c>
      <c r="BO46" s="118">
        <v>34644.35</v>
      </c>
      <c r="BP46" s="118">
        <v>65433.57</v>
      </c>
      <c r="BQ46" s="118">
        <v>55975.56</v>
      </c>
      <c r="BR46" s="118">
        <v>58237.74</v>
      </c>
      <c r="BS46" s="118">
        <v>11252.0</v>
      </c>
      <c r="BT46" s="118">
        <v>77645.93</v>
      </c>
      <c r="BU46" s="118">
        <v>227025.15</v>
      </c>
      <c r="BV46" s="118">
        <v>12434.38</v>
      </c>
      <c r="BW46" s="118">
        <v>171859.34</v>
      </c>
      <c r="BX46" s="118">
        <v>58864.0</v>
      </c>
      <c r="BY46" s="118">
        <v>44204.94</v>
      </c>
      <c r="BZ46" s="118">
        <v>4332266.85</v>
      </c>
      <c r="CA46" s="118">
        <v>0.0</v>
      </c>
      <c r="CB46" s="118">
        <v>31384.89</v>
      </c>
      <c r="CC46" s="118">
        <v>30504.879999999997</v>
      </c>
      <c r="CD46" s="118">
        <v>26967.96</v>
      </c>
      <c r="CE46" s="118">
        <v>4500.78</v>
      </c>
      <c r="CF46" s="117">
        <v>0.0</v>
      </c>
      <c r="CG46" s="119">
        <v>93358.51</v>
      </c>
      <c r="CH46" s="119"/>
      <c r="CI46" s="119">
        <v>0.0</v>
      </c>
      <c r="CJ46" s="119">
        <v>0.0</v>
      </c>
      <c r="CK46" s="116">
        <v>0.0</v>
      </c>
      <c r="CL46" s="116">
        <v>0.0</v>
      </c>
      <c r="CM46" s="116">
        <v>0.0</v>
      </c>
      <c r="CN46" s="116">
        <v>0.0</v>
      </c>
      <c r="CO46" s="116">
        <v>0.0</v>
      </c>
      <c r="CP46" s="120">
        <v>0.0</v>
      </c>
      <c r="CQ46" s="120">
        <v>0.0</v>
      </c>
      <c r="CR46" s="120">
        <v>0.0</v>
      </c>
      <c r="CS46" s="120">
        <v>0.0</v>
      </c>
      <c r="CT46" s="120">
        <v>0.0</v>
      </c>
      <c r="CU46" s="120">
        <v>0.0</v>
      </c>
      <c r="CV46" s="120">
        <v>0.0</v>
      </c>
      <c r="CW46" s="120">
        <v>0.0</v>
      </c>
      <c r="CX46" s="120">
        <v>0.0</v>
      </c>
      <c r="CY46" s="120">
        <v>0.0</v>
      </c>
      <c r="CZ46" s="120">
        <v>0.0</v>
      </c>
      <c r="DA46" s="120">
        <v>0.0</v>
      </c>
      <c r="DB46" s="120">
        <v>0.0</v>
      </c>
      <c r="DC46" s="120">
        <v>0.0</v>
      </c>
      <c r="DD46" s="120">
        <v>0.0</v>
      </c>
      <c r="DE46" s="121"/>
      <c r="DF46" s="122"/>
      <c r="DG46" s="122"/>
      <c r="DH46" s="122"/>
      <c r="DI46" s="122"/>
      <c r="DJ46" s="122"/>
      <c r="DK46" s="122"/>
      <c r="DL46" s="122"/>
      <c r="DM46" s="122"/>
      <c r="DN46" s="122"/>
      <c r="DO46" s="122"/>
      <c r="DP46" s="122"/>
    </row>
    <row r="47">
      <c r="A47" s="115">
        <v>2044697.0</v>
      </c>
      <c r="B47" s="115" t="s">
        <v>424</v>
      </c>
      <c r="C47" s="115" t="s">
        <v>379</v>
      </c>
      <c r="D47" s="115" t="s">
        <v>421</v>
      </c>
      <c r="E47" s="115">
        <v>0.0</v>
      </c>
      <c r="F47" s="115">
        <v>364.0</v>
      </c>
      <c r="G47" s="115">
        <v>283.0</v>
      </c>
      <c r="H47" s="116">
        <v>4862364.45</v>
      </c>
      <c r="I47" s="115">
        <v>0.0</v>
      </c>
      <c r="J47" s="115">
        <v>454.0</v>
      </c>
      <c r="K47" s="116">
        <v>271106.1</v>
      </c>
      <c r="L47" s="115">
        <v>0.0</v>
      </c>
      <c r="M47" s="115">
        <v>463.0</v>
      </c>
      <c r="N47" s="116">
        <v>944418.14</v>
      </c>
      <c r="O47" s="115">
        <v>0.0</v>
      </c>
      <c r="P47" s="115">
        <v>0.0</v>
      </c>
      <c r="Q47" s="115">
        <v>0.0</v>
      </c>
      <c r="R47" s="115">
        <v>0.0</v>
      </c>
      <c r="S47" s="115">
        <v>0.0</v>
      </c>
      <c r="T47" s="115">
        <v>0.0</v>
      </c>
      <c r="U47" s="115">
        <v>103.0</v>
      </c>
      <c r="V47" s="115">
        <v>145.0</v>
      </c>
      <c r="W47" s="115">
        <v>95.0</v>
      </c>
      <c r="X47" s="115">
        <v>111.0</v>
      </c>
      <c r="Y47" s="115">
        <v>139.0</v>
      </c>
      <c r="Z47" s="115">
        <v>25.0</v>
      </c>
      <c r="AA47" s="116">
        <v>440692.06</v>
      </c>
      <c r="AB47" s="115">
        <v>0.0</v>
      </c>
      <c r="AC47" s="115">
        <v>16.0</v>
      </c>
      <c r="AD47" s="116">
        <v>30839.04</v>
      </c>
      <c r="AE47" s="115">
        <v>0.0</v>
      </c>
      <c r="AF47" s="115">
        <v>139.6266218</v>
      </c>
      <c r="AG47" s="116">
        <v>301318.44</v>
      </c>
      <c r="AH47" s="115">
        <v>0.0</v>
      </c>
      <c r="AI47" s="115">
        <v>0.0</v>
      </c>
      <c r="AJ47" s="116">
        <v>0.0</v>
      </c>
      <c r="AK47" s="116">
        <v>180564.7</v>
      </c>
      <c r="AL47" s="116">
        <v>33960.0</v>
      </c>
      <c r="AM47" s="116">
        <v>7601412.55</v>
      </c>
      <c r="AN47" s="116">
        <v>213010.06</v>
      </c>
      <c r="AO47" s="116">
        <v>33960.0</v>
      </c>
      <c r="AP47" s="116">
        <v>180564.7</v>
      </c>
      <c r="AQ47" s="116">
        <v>7599897.91</v>
      </c>
      <c r="AR47" s="116">
        <v>714.0</v>
      </c>
      <c r="AS47" s="116">
        <v>10644.11472</v>
      </c>
      <c r="AT47" s="116">
        <v>10644.11472</v>
      </c>
      <c r="AU47" s="116">
        <v>6886742.224</v>
      </c>
      <c r="AV47" s="116">
        <v>33960.0</v>
      </c>
      <c r="AW47" s="116">
        <v>180564.7</v>
      </c>
      <c r="AX47" s="116">
        <v>7101266.92</v>
      </c>
      <c r="AY47" s="116">
        <v>36004.0</v>
      </c>
      <c r="AZ47" s="116">
        <v>7101266.92</v>
      </c>
      <c r="BA47" s="116">
        <v>7776.94</v>
      </c>
      <c r="BB47" s="117">
        <v>1376.0</v>
      </c>
      <c r="BC47" s="116">
        <v>2186.86</v>
      </c>
      <c r="BD47" s="116">
        <v>1953.94</v>
      </c>
      <c r="BE47" s="116">
        <v>5693.6</v>
      </c>
      <c r="BF47" s="116">
        <v>16886.7</v>
      </c>
      <c r="BG47" s="116">
        <v>35874.04</v>
      </c>
      <c r="BH47" s="118">
        <v>714.0</v>
      </c>
      <c r="BI47" s="118">
        <v>0.0</v>
      </c>
      <c r="BJ47" s="118">
        <v>3002462.7199999997</v>
      </c>
      <c r="BK47" s="118">
        <v>2228699.3</v>
      </c>
      <c r="BL47" s="118">
        <v>289040.97</v>
      </c>
      <c r="BM47" s="118">
        <v>915359.69</v>
      </c>
      <c r="BN47" s="118">
        <v>43552.6</v>
      </c>
      <c r="BO47" s="118">
        <v>83263.05</v>
      </c>
      <c r="BP47" s="118">
        <v>70797.5</v>
      </c>
      <c r="BQ47" s="118">
        <v>109635.16</v>
      </c>
      <c r="BR47" s="118">
        <v>139613.16</v>
      </c>
      <c r="BS47" s="118">
        <v>36056.9</v>
      </c>
      <c r="BT47" s="118">
        <v>35893.85</v>
      </c>
      <c r="BU47" s="118">
        <v>349703.53</v>
      </c>
      <c r="BV47" s="118">
        <v>0.0</v>
      </c>
      <c r="BW47" s="118">
        <v>171859.34</v>
      </c>
      <c r="BX47" s="118">
        <v>33960.0</v>
      </c>
      <c r="BY47" s="118">
        <v>91514.79</v>
      </c>
      <c r="BZ47" s="118">
        <v>7601412.55</v>
      </c>
      <c r="CA47" s="118">
        <v>0.0</v>
      </c>
      <c r="CB47" s="118">
        <v>60763.44</v>
      </c>
      <c r="CC47" s="118">
        <v>47055.4</v>
      </c>
      <c r="CD47" s="118">
        <v>64749.16</v>
      </c>
      <c r="CE47" s="118">
        <v>4500.78</v>
      </c>
      <c r="CF47" s="117">
        <v>0.0</v>
      </c>
      <c r="CG47" s="119">
        <v>177068.78</v>
      </c>
      <c r="CH47" s="119"/>
      <c r="CI47" s="119">
        <v>0.0</v>
      </c>
      <c r="CJ47" s="119">
        <v>0.0</v>
      </c>
      <c r="CK47" s="116">
        <v>0.0</v>
      </c>
      <c r="CL47" s="116">
        <v>0.0</v>
      </c>
      <c r="CM47" s="116">
        <v>0.0</v>
      </c>
      <c r="CN47" s="116">
        <v>0.0</v>
      </c>
      <c r="CO47" s="116">
        <v>0.0</v>
      </c>
      <c r="CP47" s="120">
        <v>0.0</v>
      </c>
      <c r="CQ47" s="120">
        <v>0.0</v>
      </c>
      <c r="CR47" s="120">
        <v>0.0</v>
      </c>
      <c r="CS47" s="120">
        <v>0.0</v>
      </c>
      <c r="CT47" s="120">
        <v>0.0</v>
      </c>
      <c r="CU47" s="120">
        <v>0.0</v>
      </c>
      <c r="CV47" s="120">
        <v>0.0</v>
      </c>
      <c r="CW47" s="120">
        <v>0.0</v>
      </c>
      <c r="CX47" s="120">
        <v>0.0</v>
      </c>
      <c r="CY47" s="120">
        <v>0.0</v>
      </c>
      <c r="CZ47" s="120">
        <v>0.0</v>
      </c>
      <c r="DA47" s="120">
        <v>0.0</v>
      </c>
      <c r="DB47" s="120">
        <v>0.0</v>
      </c>
      <c r="DC47" s="120">
        <v>0.0</v>
      </c>
      <c r="DD47" s="120">
        <v>0.0</v>
      </c>
      <c r="DE47" s="121"/>
      <c r="DF47" s="122"/>
      <c r="DG47" s="122"/>
      <c r="DH47" s="122"/>
      <c r="DI47" s="122"/>
      <c r="DJ47" s="122"/>
      <c r="DK47" s="122"/>
      <c r="DL47" s="122"/>
      <c r="DM47" s="122"/>
      <c r="DN47" s="122"/>
      <c r="DO47" s="122"/>
      <c r="DP47" s="122"/>
    </row>
  </sheetData>
  <autoFilter ref="$A$2:$DP$47"/>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2023-01-13T11:24:06Z</dcterms:created>
  <dc:creator>Chris Scott</dc:creator>
</cp:coreProperties>
</file>